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vigil_r\Downloads\"/>
    </mc:Choice>
  </mc:AlternateContent>
  <xr:revisionPtr revIDLastSave="0" documentId="8_{72B0E0C2-2D19-4C9A-88E2-04FE214E842A}" xr6:coauthVersionLast="47" xr6:coauthVersionMax="47" xr10:uidLastSave="{00000000-0000-0000-0000-000000000000}"/>
  <bookViews>
    <workbookView xWindow="19090" yWindow="-110" windowWidth="19420" windowHeight="10300" firstSheet="1" activeTab="1" xr2:uid="{F194DE3D-F795-4D41-9A77-7ABE671A5704}"/>
  </bookViews>
  <sheets>
    <sheet name="Instructions" sheetId="7" r:id="rId1"/>
    <sheet name="Supporting Data" sheetId="1" r:id="rId2"/>
    <sheet name="Labor Cost" sheetId="5" r:id="rId3"/>
    <sheet name="Cost Estimator" sheetId="6" r:id="rId4"/>
    <sheet name="Cost Estimator-Actual" sheetId="8" r:id="rId5"/>
    <sheet name="Reference Sheet" sheetId="4" r:id="rId6"/>
    <sheet name="Equipment Needs" sheetId="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8" l="1"/>
  <c r="B16" i="8"/>
  <c r="B16" i="6"/>
  <c r="B9" i="5" a="1"/>
  <c r="G3" i="4"/>
  <c r="G5" i="4"/>
  <c r="G6" i="4"/>
  <c r="G7" i="4"/>
  <c r="G9" i="4"/>
  <c r="G10" i="4"/>
  <c r="G11" i="4"/>
  <c r="G13" i="4"/>
  <c r="G14" i="4"/>
  <c r="G15" i="4"/>
  <c r="G17" i="4"/>
  <c r="G19" i="4"/>
  <c r="G20" i="4"/>
  <c r="G21" i="4"/>
  <c r="G22" i="4"/>
  <c r="G23" i="4"/>
  <c r="G24" i="4"/>
  <c r="G25" i="4"/>
  <c r="G27" i="4"/>
  <c r="G29" i="4"/>
  <c r="B31" i="8"/>
  <c r="B13" i="6"/>
  <c r="B12" i="6"/>
  <c r="B31" i="6"/>
  <c r="B25" i="6"/>
  <c r="B17" i="8"/>
  <c r="H8" i="5"/>
  <c r="H7" i="5"/>
  <c r="H6" i="5"/>
  <c r="H5" i="5"/>
  <c r="H4" i="5"/>
  <c r="G9" i="5"/>
  <c r="B17" i="6"/>
  <c r="B11" i="6"/>
  <c r="C6" i="1"/>
  <c r="B30" i="6" s="1"/>
  <c r="B6" i="1"/>
  <c r="B28" i="6" s="1"/>
  <c r="B15" i="8" l="1"/>
  <c r="E6" i="1"/>
  <c r="B6" i="5" s="1"/>
  <c r="B7" i="5" s="1" a="1"/>
  <c r="B8" i="5" s="1"/>
  <c r="B14" i="8"/>
  <c r="B23" i="8"/>
  <c r="B24" i="8"/>
  <c r="B28" i="8"/>
  <c r="B29" i="8"/>
  <c r="B30" i="8"/>
  <c r="B15" i="6"/>
  <c r="B24" i="6"/>
  <c r="B29" i="6"/>
  <c r="H9" i="5"/>
  <c r="B14" i="6"/>
  <c r="B23" i="6"/>
  <c r="B20" i="6" l="1"/>
  <c r="B34" i="6" s="1"/>
  <c r="B20" i="8"/>
  <c r="B34" i="8" s="1"/>
  <c r="B35" i="8" l="1"/>
  <c r="B35"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<sst xmlns="http://schemas.openxmlformats.org/spreadsheetml/2006/main" count="350" uniqueCount="112">
  <si>
    <t xml:space="preserve">Enrollment </t>
  </si>
  <si>
    <t xml:space="preserve">Anticipated Participation (%) </t>
  </si>
  <si>
    <t xml:space="preserve">Ancipated Participation Total </t>
  </si>
  <si>
    <t>Breakfast</t>
  </si>
  <si>
    <t>Lunch</t>
  </si>
  <si>
    <t>Salida</t>
  </si>
  <si>
    <t>Min</t>
  </si>
  <si>
    <t>Max</t>
  </si>
  <si>
    <t>Denver</t>
  </si>
  <si>
    <t>Durango</t>
  </si>
  <si>
    <t>Vail</t>
  </si>
  <si>
    <t>Food Service Worker</t>
  </si>
  <si>
    <t>Cook</t>
  </si>
  <si>
    <t>Meal Equivalents</t>
  </si>
  <si>
    <t>Participation</t>
  </si>
  <si>
    <t xml:space="preserve">Region </t>
  </si>
  <si>
    <t>Region</t>
  </si>
  <si>
    <t>Position</t>
  </si>
  <si>
    <t>No Data</t>
  </si>
  <si>
    <t>Kitchen Manager</t>
  </si>
  <si>
    <t>Average</t>
  </si>
  <si>
    <t>Labor Cost</t>
  </si>
  <si>
    <t>Min Meals</t>
  </si>
  <si>
    <t>Max Meals</t>
  </si>
  <si>
    <t>System Type</t>
  </si>
  <si>
    <t>Conventional</t>
  </si>
  <si>
    <t>Convenience</t>
  </si>
  <si>
    <t>MPLH</t>
  </si>
  <si>
    <t>Cortez</t>
  </si>
  <si>
    <t>ColoradoSprings</t>
  </si>
  <si>
    <t>FortCollins</t>
  </si>
  <si>
    <t>GrandJunction</t>
  </si>
  <si>
    <t>SteamboatSprings</t>
  </si>
  <si>
    <t>Total Meals</t>
  </si>
  <si>
    <t>Low MPLH</t>
  </si>
  <si>
    <t>High MPLH</t>
  </si>
  <si>
    <t>Min/Max/Average Rate</t>
  </si>
  <si>
    <t>Service Type</t>
  </si>
  <si>
    <t>Hours Per Staff</t>
  </si>
  <si>
    <t>Food Service Worker PT</t>
  </si>
  <si>
    <t>Cook PT</t>
  </si>
  <si>
    <t>Number of Staff</t>
  </si>
  <si>
    <t>Labor Hours Needed Daily</t>
  </si>
  <si>
    <t xml:space="preserve">Supporting Data </t>
  </si>
  <si>
    <t>Self-Prep</t>
  </si>
  <si>
    <t>Commodities</t>
  </si>
  <si>
    <t>Reimbursement for SY 25-26</t>
  </si>
  <si>
    <t>SFA Fees for SY 26-27</t>
  </si>
  <si>
    <t>CSI</t>
  </si>
  <si>
    <t>Non-CSI</t>
  </si>
  <si>
    <t>Overhead Fee for SY 26-27</t>
  </si>
  <si>
    <t>Cost Estimator</t>
  </si>
  <si>
    <t>Operation Type</t>
  </si>
  <si>
    <t>Cost</t>
  </si>
  <si>
    <t>Meal Cost</t>
  </si>
  <si>
    <t>Average Breakfast Meal Cost Per Day</t>
  </si>
  <si>
    <t>Average Lunch Meal Cost Per Day</t>
  </si>
  <si>
    <t xml:space="preserve">Select </t>
  </si>
  <si>
    <t>Select</t>
  </si>
  <si>
    <t>Vended</t>
  </si>
  <si>
    <t>Additional Fee</t>
  </si>
  <si>
    <t xml:space="preserve">Operation Information </t>
  </si>
  <si>
    <t>Labor Cost Per Day</t>
  </si>
  <si>
    <t>Total Breakfast Meals Cost Per Day</t>
  </si>
  <si>
    <t>Total Lunch Meals Cost Per Day</t>
  </si>
  <si>
    <t xml:space="preserve">Lunch </t>
  </si>
  <si>
    <t>Reimbursements Per Meal Served</t>
  </si>
  <si>
    <t xml:space="preserve">CSI Fees (based on anticipated participation) </t>
  </si>
  <si>
    <t>Total Per Day</t>
  </si>
  <si>
    <t xml:space="preserve">Yearly </t>
  </si>
  <si>
    <t>Daily</t>
  </si>
  <si>
    <t>Labor Cost Dependent on Region</t>
  </si>
  <si>
    <t>Meals Per Labor Hour</t>
  </si>
  <si>
    <t>Vended IW</t>
  </si>
  <si>
    <t>Vended Bulk</t>
  </si>
  <si>
    <t>Actual Breakfast Meal Cost Per Day</t>
  </si>
  <si>
    <t>Actual Lunch Meal Cost Per Day</t>
  </si>
  <si>
    <t xml:space="preserve">Cost Estimator - Actual </t>
  </si>
  <si>
    <t>CSI vs Non-CSI Authorizer</t>
  </si>
  <si>
    <t>Number of Operating Days</t>
  </si>
  <si>
    <t xml:space="preserve">Anticipated Cost of the Program </t>
  </si>
  <si>
    <t>Snack</t>
  </si>
  <si>
    <t>Average Snack Cost Per Day</t>
  </si>
  <si>
    <t xml:space="preserve">Total Snack Meals Cost Per Day </t>
  </si>
  <si>
    <t>Full Time Benefits</t>
  </si>
  <si>
    <t xml:space="preserve">No Data </t>
  </si>
  <si>
    <t>Choosing Equipment Depending on Your Setup</t>
  </si>
  <si>
    <t xml:space="preserve">Building your kitchen is based on the needs of the school and meal set up. Your kitchen may require some or all of the listed items. </t>
  </si>
  <si>
    <t>Warming Cabinet: Keeps prepared food at safe serving temperatures.</t>
  </si>
  <si>
    <t>Rethermalizing Oven: Heats pre-cooked food efficiently.</t>
  </si>
  <si>
    <t>Serving Line or Portable Wells: Keeps food hot during service.</t>
  </si>
  <si>
    <t>Reach-In Refrigerator: Stores perishable items safely.</t>
  </si>
  <si>
    <t>Reach-In Freezer: Keeps frozen items at safe temperatures.</t>
  </si>
  <si>
    <t>Ventless Tall Dish Machine: Efficient dishwashing without the need for a ventilation hood.</t>
  </si>
  <si>
    <t>Milk Cooler: Maintains milk at proper cold temperatures.</t>
  </si>
  <si>
    <t>Walk-In Cooler: Ample refrigerated storage for ingredients.</t>
  </si>
  <si>
    <t>Walk-In Freezer: Large capacity for frozen goods.</t>
  </si>
  <si>
    <t>Warming Cabinet: Keeps food at serving temperature.</t>
  </si>
  <si>
    <t>Reach-In Cooler: Quick access to refrigerated items during service.</t>
  </si>
  <si>
    <t>Combi Oven: Versatile cooking with steam and convection options.</t>
  </si>
  <si>
    <t>Tilt Skillet: Ideal for bulk cooking and sautéing.</t>
  </si>
  <si>
    <t>Tall Dish Machine: Ensures sanitation of dishes and utensils.</t>
  </si>
  <si>
    <t>3-Compartment Sink: Essential for washing, rinsing, and sanitizing.</t>
  </si>
  <si>
    <t>Produce Sink: Dedicated for washing fresh fruits and vegetables.</t>
  </si>
  <si>
    <t>Serving Line: Maintains hot food at safe temperatures during service.</t>
  </si>
  <si>
    <t>Milk Cooler: Keeps milk cold and safe for consumption.</t>
  </si>
  <si>
    <t>3-Compartment Sink: Wash, rinse, and sanitize dishes.</t>
  </si>
  <si>
    <t xml:space="preserve">For more information, reach out to Ilene Agustin at IleneAgustin@csi.state.co.us. She will assist in the formal procurement process and cost. </t>
  </si>
  <si>
    <r>
      <t xml:space="preserve">Warming Kitchen (No Hood) - </t>
    </r>
    <r>
      <rPr>
        <b/>
        <i/>
        <sz val="11"/>
        <color theme="1"/>
        <rFont val="Aptos Narrow"/>
        <family val="2"/>
        <scheme val="minor"/>
      </rPr>
      <t>intended for vended or convenience only items</t>
    </r>
    <r>
      <rPr>
        <b/>
        <sz val="11"/>
        <color theme="1"/>
        <rFont val="Aptos Narrow"/>
        <family val="2"/>
        <scheme val="minor"/>
      </rPr>
      <t xml:space="preserve"> </t>
    </r>
  </si>
  <si>
    <r>
      <t xml:space="preserve">Full Kitchen (With Hood) - </t>
    </r>
    <r>
      <rPr>
        <b/>
        <i/>
        <sz val="11"/>
        <color theme="1"/>
        <rFont val="Aptos Narrow"/>
        <family val="2"/>
        <scheme val="minor"/>
      </rPr>
      <t xml:space="preserve">intended for speed-scratch or scratch items </t>
    </r>
  </si>
  <si>
    <t>Number of Operating Days for Snack</t>
  </si>
  <si>
    <t>Number of Snack Operating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</si>
</sst>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i/>
      <sz val="11"/>
      <color theme="1"/>
      <name val="Aptos Narrow"/>
      <family val="2"/>
      <scheme val="minor"/>
    </font>
    <font>
      <b/>
      <i/>
      <sz val="11"/>
      <color theme="1"/>
      <name val="Aptos Narrow"/>
      <family val="2"/>
      <scheme val="minor"/>
    </font>
    <font>
      <b/>
      <sz val="11"/>
      <color theme="1" tint="0.14999847407452621"/>
      <name val="Aptos Narrow"/>
      <family val="2"/>
      <scheme val="minor"/>
    </font>
  </fonts>
  <fills count="7">
    <fill>
      <patternFill patternType="none"/>
    </fill>
    <fill>
      <patternFill patternType="gray125"/>
    </fill>
    <fill>
      <patternFill patternType="solid">
        <fgColor theme="3" tint="0.89999084444715716"/>
        <bgColor indexed="64"/>
      </patternFill>
    </fill>
    <fill>
      <patternFill patternType="solid">
        <fgColor rgb="FFFFFF00"/>
        <bgColor indexed="64"/>
      </patternFill>
    </fill>
    <fill>
      <patternFill patternType="solid">
        <fgColor theme="3" tint="0.749992370372631"/>
        <bgColor indexed="64"/>
      </patternFill>
    </fill>
    <fill>
      <patternFill patternType="solid">
        <fgColor theme="4" tint="0.79998168889431442"/>
        <bgColor theme="4" tint="0.79998168889431442"/>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top style="thin">
        <color indexed="64"/>
      </top>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60">
    <xf numFmtId="0" fontId="0" fillId="0" borderId="0" xfId="0"/>
    <xf numFmtId="0" fontId="3" fillId="0" borderId="0" xfId="0" applyFont="1"/>
    <xf numFmtId="0" fontId="0" fillId="3" borderId="1" xfId="0" applyFill="1" applyBorder="1"/>
    <xf numFmtId="9" fontId="0" fillId="3" borderId="2" xfId="1" applyFont="1" applyFill="1" applyBorder="1"/>
    <xf numFmtId="0" fontId="2" fillId="2" borderId="1" xfId="0" applyFont="1" applyFill="1" applyBorder="1"/>
    <xf numFmtId="164" fontId="0" fillId="0" borderId="0" xfId="0" applyNumberFormat="1"/>
    <xf numFmtId="0" fontId="2" fillId="0" borderId="0" xfId="0" applyFont="1" applyAlignment="1">
      <alignment vertical="center" wrapText="1"/>
    </xf>
    <xf numFmtId="0" fontId="0" fillId="5" borderId="5" xfId="0" applyFill="1" applyBorder="1"/>
    <xf numFmtId="0" fontId="0" fillId="5" borderId="4" xfId="0" applyFill="1" applyBorder="1"/>
    <xf numFmtId="0" fontId="0" fillId="0" borderId="5" xfId="0" applyBorder="1"/>
    <xf numFmtId="0" fontId="0" fillId="0" borderId="4" xfId="0" applyBorder="1"/>
    <xf numFmtId="0" fontId="0" fillId="3" borderId="0" xfId="0" applyFill="1"/>
    <xf numFmtId="0" fontId="2" fillId="0" borderId="0" xfId="0" applyFont="1"/>
    <xf numFmtId="0" fontId="2" fillId="4" borderId="3" xfId="0" applyFont="1" applyFill="1" applyBorder="1"/>
    <xf numFmtId="0" fontId="2" fillId="2" borderId="6" xfId="0" applyFont="1" applyFill="1" applyBorder="1"/>
    <xf numFmtId="0" fontId="0" fillId="0" borderId="1" xfId="0" applyBorder="1" applyAlignment="1">
      <alignment horizontal="right"/>
    </xf>
    <xf numFmtId="164" fontId="0" fillId="0" borderId="3" xfId="0" applyNumberFormat="1" applyBorder="1" applyAlignment="1">
      <alignment horizontal="right" wrapText="1"/>
    </xf>
    <xf numFmtId="0" fontId="0" fillId="0" borderId="0" xfId="0" applyAlignment="1">
      <alignment horizontal="right"/>
    </xf>
    <xf numFmtId="0" fontId="0" fillId="0" borderId="0" xfId="0" applyAlignment="1">
      <alignment horizontal="right" wrapText="1"/>
    </xf>
    <xf numFmtId="164" fontId="0" fillId="0" borderId="1" xfId="0" applyNumberFormat="1" applyBorder="1"/>
    <xf numFmtId="0" fontId="2" fillId="2" borderId="7" xfId="0" applyFont="1" applyFill="1" applyBorder="1"/>
    <xf numFmtId="164" fontId="0" fillId="0" borderId="8" xfId="2" applyNumberFormat="1" applyFont="1" applyBorder="1"/>
    <xf numFmtId="164" fontId="0" fillId="0" borderId="8" xfId="0" applyNumberFormat="1" applyBorder="1"/>
    <xf numFmtId="0" fontId="2" fillId="0" borderId="3" xfId="0" applyFont="1" applyBorder="1"/>
    <xf numFmtId="0" fontId="2" fillId="0" borderId="10" xfId="0" applyFont="1" applyBorder="1"/>
    <xf numFmtId="0" fontId="2" fillId="2" borderId="11" xfId="0" applyFont="1" applyFill="1" applyBorder="1"/>
    <xf numFmtId="164" fontId="0" fillId="0" borderId="2" xfId="0" applyNumberFormat="1" applyBorder="1"/>
    <xf numFmtId="164" fontId="0" fillId="0" borderId="12" xfId="0" applyNumberFormat="1" applyBorder="1"/>
    <xf numFmtId="0" fontId="0" fillId="0" borderId="13" xfId="0" applyBorder="1"/>
    <xf numFmtId="0" fontId="0" fillId="0" borderId="10" xfId="0" applyBorder="1"/>
    <xf numFmtId="0" fontId="2" fillId="2" borderId="14" xfId="0" applyFont="1" applyFill="1" applyBorder="1"/>
    <xf numFmtId="0" fontId="0" fillId="0" borderId="15" xfId="0" applyBorder="1"/>
    <xf numFmtId="0" fontId="0" fillId="3" borderId="8" xfId="0" applyFill="1" applyBorder="1"/>
    <xf numFmtId="9" fontId="0" fillId="3" borderId="12" xfId="1" applyFont="1" applyFill="1" applyBorder="1"/>
    <xf numFmtId="0" fontId="2" fillId="0" borderId="13" xfId="0" applyFont="1" applyBorder="1"/>
    <xf numFmtId="0" fontId="0" fillId="6" borderId="1" xfId="0" applyFill="1" applyBorder="1" applyAlignment="1">
      <alignment horizontal="center"/>
    </xf>
    <xf numFmtId="0" fontId="0" fillId="0" borderId="6" xfId="0" applyBorder="1" applyAlignment="1">
      <alignment horizontal="center"/>
    </xf>
    <xf numFmtId="0" fontId="0" fillId="5" borderId="0" xfId="0" applyFill="1"/>
    <xf numFmtId="164" fontId="0" fillId="0" borderId="1" xfId="0" applyNumberFormat="1" applyBorder="1" applyAlignment="1">
      <alignment horizontal="right" wrapText="1"/>
    </xf>
    <xf numFmtId="164" fontId="0" fillId="0" borderId="1" xfId="0" applyNumberFormat="1" applyBorder="1" applyAlignment="1">
      <alignment horizontal="right"/>
    </xf>
    <xf numFmtId="164" fontId="0" fillId="0" borderId="1" xfId="2" applyNumberFormat="1" applyFont="1" applyBorder="1" applyAlignment="1">
      <alignment horizontal="right"/>
    </xf>
    <xf numFmtId="0" fontId="0" fillId="0" borderId="0" xfId="0" applyAlignment="1">
      <alignment wrapText="1"/>
    </xf>
    <xf numFmtId="0" fontId="0" fillId="3" borderId="1" xfId="0" applyFill="1" applyBorder="1" applyAlignment="1">
      <alignment horizontal="right"/>
    </xf>
    <xf numFmtId="164" fontId="0" fillId="3" borderId="1" xfId="0" applyNumberFormat="1" applyFill="1" applyBorder="1" applyAlignment="1">
      <alignment horizontal="right" wrapText="1"/>
    </xf>
    <xf numFmtId="164" fontId="0" fillId="3" borderId="1" xfId="0" applyNumberFormat="1" applyFill="1" applyBorder="1" applyAlignment="1">
      <alignment horizontal="right"/>
    </xf>
    <xf numFmtId="165" fontId="0" fillId="0" borderId="6" xfId="0" applyNumberFormat="1" applyBorder="1" applyAlignment="1">
      <alignment horizontal="right"/>
    </xf>
    <xf numFmtId="164" fontId="0" fillId="0" borderId="16" xfId="0" applyNumberFormat="1" applyBorder="1"/>
    <xf numFmtId="164" fontId="0" fillId="0" borderId="0" xfId="2" applyNumberFormat="1" applyFont="1" applyBorder="1"/>
    <xf numFmtId="9" fontId="0" fillId="3" borderId="6" xfId="1" applyFont="1" applyFill="1" applyBorder="1"/>
    <xf numFmtId="0" fontId="2" fillId="0" borderId="17" xfId="0" applyFont="1" applyBorder="1"/>
    <xf numFmtId="0" fontId="0" fillId="0" borderId="1" xfId="0" applyBorder="1"/>
    <xf numFmtId="0" fontId="4" fillId="0" borderId="3" xfId="0" applyFont="1" applyBorder="1" applyAlignment="1">
      <alignment wrapText="1"/>
    </xf>
    <xf numFmtId="0" fontId="3" fillId="0" borderId="3" xfId="0" applyFont="1" applyBorder="1" applyAlignment="1">
      <alignment wrapText="1"/>
    </xf>
    <xf numFmtId="0" fontId="3" fillId="0" borderId="1" xfId="0" applyFont="1" applyBorder="1" applyAlignment="1">
      <alignment horizontal="center"/>
    </xf>
    <xf numFmtId="0" fontId="2" fillId="4" borderId="8" xfId="0" applyFont="1" applyFill="1" applyBorder="1" applyAlignment="1">
      <alignment horizontal="left"/>
    </xf>
    <xf numFmtId="0" fontId="2" fillId="4" borderId="7" xfId="0" applyFont="1" applyFill="1" applyBorder="1" applyAlignment="1">
      <alignment horizontal="left"/>
    </xf>
    <xf numFmtId="0" fontId="2" fillId="4" borderId="1" xfId="0" applyFont="1" applyFill="1" applyBorder="1" applyAlignment="1">
      <alignment horizontal="left"/>
    </xf>
    <xf numFmtId="0" fontId="4" fillId="0" borderId="2" xfId="0" applyFont="1" applyBorder="1" applyAlignment="1">
      <alignment horizontal="left" wrapText="1"/>
    </xf>
    <xf numFmtId="0" fontId="4" fillId="0" borderId="3" xfId="0" applyFont="1" applyBorder="1" applyAlignment="1">
      <alignment horizontal="left" wrapText="1"/>
    </xf>
    <xf numFmtId="0" fontId="6" fillId="4" borderId="9" xfId="0" applyFont="1" applyFill="1" applyBorder="1"/>
  </cellXfs>
  <cellStyles count="3">
    <cellStyle name="Currency" xfId="2" builtinId="4"/>
    <cellStyle name="Normal" xfId="0" builtinId="0"/>
    <cellStyle name="Percent" xfId="1" builtinId="5"/>
  </cellStyles>
  <dxfs count="35">
    <dxf>
      <fill>
        <patternFill>
          <bgColor rgb="FFFFC7CE"/>
        </patternFill>
      </fill>
    </dxf>
    <dxf>
      <fill>
        <patternFill>
          <bgColor theme="9" tint="0.59996337778862885"/>
        </patternFill>
      </fill>
    </dxf>
    <dxf>
      <fill>
        <patternFill>
          <bgColor rgb="FFFFC7CE"/>
        </patternFill>
      </fill>
    </dxf>
    <dxf>
      <fill>
        <patternFill>
          <bgColor theme="9" tint="0.59996337778862885"/>
        </patternFill>
      </fill>
    </dxf>
    <dxf>
      <fill>
        <patternFill patternType="solid">
          <fgColor indexed="64"/>
          <bgColor rgb="FFFFFF00"/>
        </patternFill>
      </fill>
    </dxf>
    <dxf>
      <fill>
        <patternFill patternType="solid">
          <fgColor indexed="64"/>
          <bgColor rgb="FFFFFF00"/>
        </patternFill>
      </fill>
    </dxf>
    <dxf>
      <numFmt numFmtId="164" formatCode="&quot;$&quot;#,##0.0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3" tint="0.89999084444715716"/>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3" tint="0.749992370372631"/>
        </patternFill>
      </fill>
      <border diagonalUp="0" diagonalDown="0" outline="0">
        <left style="thin">
          <color indexed="64"/>
        </left>
        <right style="thin">
          <color indexed="64"/>
        </right>
        <top/>
        <bottom/>
      </border>
    </dxf>
    <dxf>
      <numFmt numFmtId="164" formatCode="&quot;$&quot;#,##0.00"/>
      <border diagonalUp="0" diagonalDown="0" outline="0">
        <left/>
        <right/>
        <top style="thin">
          <color indexed="64"/>
        </top>
        <bottom style="thin">
          <color indexed="64"/>
        </bottom>
      </border>
    </dxf>
    <dxf>
      <font>
        <b/>
      </font>
      <fill>
        <patternFill patternType="solid">
          <fgColor indexed="64"/>
          <bgColor theme="3" tint="0.89999084444715716"/>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3" tint="0.749992370372631"/>
        </patternFill>
      </fill>
      <border diagonalUp="0" diagonalDown="0" outline="0">
        <left style="thin">
          <color indexed="64"/>
        </left>
        <right style="thin">
          <color indexed="64"/>
        </right>
        <top/>
        <bottom/>
      </border>
    </dxf>
    <dxf>
      <numFmt numFmtId="164" formatCode="&quot;$&quot;#,##0.0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3" tint="0.89999084444715716"/>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3" tint="0.749992370372631"/>
        </patternFill>
      </fill>
      <border diagonalUp="0" diagonalDown="0" outline="0">
        <left style="thin">
          <color indexed="64"/>
        </left>
        <right style="thin">
          <color indexed="64"/>
        </right>
        <top/>
        <bottom/>
      </border>
    </dxf>
    <dxf>
      <numFmt numFmtId="0" formatCode="General"/>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border diagonalUp="0" diagonalDown="0" outline="0">
        <left style="thin">
          <color indexed="64"/>
        </left>
        <right style="thin">
          <color indexed="64"/>
        </right>
        <top/>
        <bottom/>
      </border>
    </dxf>
    <dxf>
      <numFmt numFmtId="164" formatCode="&quot;$&quot;#,##0.0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Aptos Narrow"/>
        <family val="2"/>
        <scheme val="minor"/>
      </font>
      <fill>
        <patternFill patternType="solid">
          <fgColor indexed="64"/>
          <bgColor theme="3" tint="0.89999084444715716"/>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64" formatCode="&quot;$&quot;#,##0.00"/>
    </dxf>
    <dxf>
      <numFmt numFmtId="164" formatCode="&quot;$&quot;#,##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228600</xdr:colOff>
      <xdr:row>1</xdr:row>
      <xdr:rowOff>19049</xdr:rowOff>
    </xdr:from>
    <xdr:to>
      <xdr:col>16</xdr:col>
      <xdr:colOff>190500</xdr:colOff>
      <xdr:row>32</xdr:row>
      <xdr:rowOff>133349</xdr:rowOff>
    </xdr:to>
    <xdr:sp macro="" textlink="">
      <xdr:nvSpPr>
        <xdr:cNvPr id="2" name="TextBox 1">
          <a:extLst>
            <a:ext uri="{FF2B5EF4-FFF2-40B4-BE49-F238E27FC236}">
              <a16:creationId xmlns:a16="http://schemas.microsoft.com/office/drawing/2014/main" id="{4D77B6BA-D52D-5A40-53F1-8318560CF57E}"/>
            </a:ext>
          </a:extLst>
        </xdr:cNvPr>
        <xdr:cNvSpPr txBox="1"/>
      </xdr:nvSpPr>
      <xdr:spPr>
        <a:xfrm>
          <a:off x="228600" y="200024"/>
          <a:ext cx="9715500" cy="572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Please use this sheet to estimate your cost for starting the SFA program under the Colorado</a:t>
          </a:r>
          <a:r>
            <a:rPr lang="en-US" sz="1200" baseline="0"/>
            <a:t> Charter School Institute. This is meant to be used as a tool and does not depict actual circumstances - only estimates. </a:t>
          </a:r>
        </a:p>
        <a:p>
          <a:endParaRPr lang="en-US" sz="1200" baseline="0"/>
        </a:p>
        <a:p>
          <a:r>
            <a:rPr lang="en-US" sz="1200" baseline="0"/>
            <a:t>The 'Reference Sheet' is to be used as a reference for the 'Labor Cost' sheet. This sheet shows labor costs dependent on region in Colorado based on current job postings. An estimate of 30% has been added, if desired, for full time employess (≥30 hours/week). Meals per labor hour is also shown. The 'Equipment Needs' sheet provides a list of potential equipment needed based on meal type and kitchen set up. </a:t>
          </a:r>
        </a:p>
        <a:p>
          <a:endParaRPr lang="en-US" sz="1200" baseline="0"/>
        </a:p>
        <a:p>
          <a:r>
            <a:rPr lang="en-US" sz="1200" baseline="0"/>
            <a:t>Instructions - </a:t>
          </a:r>
          <a:r>
            <a:rPr lang="en-US" sz="1200" i="1" baseline="0"/>
            <a:t>You will only edit highlighted cells</a:t>
          </a:r>
          <a:r>
            <a:rPr lang="en-US" sz="1200" baseline="0"/>
            <a:t>. </a:t>
          </a:r>
        </a:p>
        <a:p>
          <a:r>
            <a:rPr lang="en-US" sz="1200" baseline="0"/>
            <a:t>1. Start with the 'Supporting Data' sheet. </a:t>
          </a:r>
        </a:p>
        <a:p>
          <a:r>
            <a:rPr lang="en-US" sz="1200" baseline="0"/>
            <a:t>2. Enter your enrollment and anticipated participation (a percentage). If you are not participating in a meal - breakfast or snack - put 0 for partcipation. </a:t>
          </a:r>
        </a:p>
        <a:p>
          <a:r>
            <a:rPr lang="en-US" sz="1200" baseline="0"/>
            <a:t>3. This calculates meal equivalents. </a:t>
          </a:r>
        </a:p>
        <a:p>
          <a:r>
            <a:rPr lang="en-US" sz="1200" baseline="0"/>
            <a:t>4. Remaining data on this sheet should not be edited and is only for reference. </a:t>
          </a:r>
        </a:p>
        <a:p>
          <a:r>
            <a:rPr lang="en-US" sz="1200" baseline="0"/>
            <a:t>5. Open the 'Labor Cost' sheet. </a:t>
          </a:r>
        </a:p>
        <a:p>
          <a:r>
            <a:rPr lang="en-US" sz="1200" baseline="0"/>
            <a:t>6. Use the dropdown boxes to select Region, Min/Max/Average/Full Time Benefits Rate, Service Type (Defined on 'Reference Sheet'). </a:t>
          </a:r>
        </a:p>
        <a:p>
          <a:r>
            <a:rPr lang="en-US" sz="1200" baseline="0"/>
            <a:t>7. Enter desired number of staff in each category (Refer to 'Reference Sheet' for position descriptions and hours). </a:t>
          </a:r>
        </a:p>
        <a:p>
          <a:r>
            <a:rPr lang="en-US" sz="1200" baseline="0"/>
            <a:t>8. Hours per staff should match as close as possible to the MPLH tab. </a:t>
          </a:r>
        </a:p>
        <a:p>
          <a:r>
            <a:rPr lang="en-US" sz="1200" baseline="0"/>
            <a:t>9. </a:t>
          </a:r>
          <a:r>
            <a:rPr lang="en-US" sz="1200" baseline="0">
              <a:solidFill>
                <a:schemeClr val="dk1"/>
              </a:solidFill>
              <a:effectLst/>
              <a:latin typeface="+mn-lt"/>
              <a:ea typeface="+mn-ea"/>
              <a:cs typeface="+mn-cs"/>
            </a:rPr>
            <a:t>Remaining data on this sheet should not be edited and is only for reference. </a:t>
          </a:r>
          <a:endParaRPr lang="en-US" sz="1200" baseline="0"/>
        </a:p>
        <a:p>
          <a:r>
            <a:rPr lang="en-US" sz="1200" b="1" i="1"/>
            <a:t>If you have Vended</a:t>
          </a:r>
          <a:r>
            <a:rPr lang="en-US" sz="1200" b="1" i="1" baseline="0"/>
            <a:t> Actual Cost Per Meal or Self-Prep Actual Cost Per Meal, skip to step 14. If you only have averages, proceed to step 10. </a:t>
          </a:r>
          <a:endParaRPr lang="en-US" sz="1200" b="1" i="1"/>
        </a:p>
        <a:p>
          <a:r>
            <a:rPr lang="en-US" sz="1200"/>
            <a:t>10. Open the 'Cost Estimator'</a:t>
          </a:r>
          <a:r>
            <a:rPr lang="en-US" sz="1200" baseline="0"/>
            <a:t> sheet. </a:t>
          </a:r>
        </a:p>
        <a:p>
          <a:r>
            <a:rPr lang="en-US" sz="1200" baseline="0"/>
            <a:t>11. </a:t>
          </a:r>
          <a:r>
            <a:rPr lang="en-US" sz="1200" baseline="0">
              <a:solidFill>
                <a:schemeClr val="dk1"/>
              </a:solidFill>
              <a:effectLst/>
              <a:latin typeface="+mn-lt"/>
              <a:ea typeface="+mn-ea"/>
              <a:cs typeface="+mn-cs"/>
            </a:rPr>
            <a:t>Use the dropdown boxes to select Region, Operation Type, CSI vs Non-CSI Authorizer. Enter Number of Operating Days according to school calendar. </a:t>
          </a:r>
        </a:p>
        <a:p>
          <a:r>
            <a:rPr lang="en-US" sz="1200" baseline="0">
              <a:solidFill>
                <a:schemeClr val="dk1"/>
              </a:solidFill>
              <a:effectLst/>
              <a:latin typeface="+mn-lt"/>
              <a:ea typeface="+mn-ea"/>
              <a:cs typeface="+mn-cs"/>
            </a:rPr>
            <a:t>12. Remaining data on this sheet should not be edited and is only for reference. </a:t>
          </a:r>
        </a:p>
        <a:p>
          <a:r>
            <a:rPr lang="en-US" sz="1200" baseline="0">
              <a:solidFill>
                <a:schemeClr val="dk1"/>
              </a:solidFill>
              <a:effectLst/>
              <a:latin typeface="+mn-lt"/>
              <a:ea typeface="+mn-ea"/>
              <a:cs typeface="+mn-cs"/>
            </a:rPr>
            <a:t>13. Anticipated Program Cost is calculated in the last table for the year and the day - based on number of operational days. A negative number indicates that the program will have a positive balance. A negative balance indicates the program will have a negative balance and will need to use the general fund to cover costs. You can now use these numbers for reference- no need to complete remaining steps. </a:t>
          </a:r>
        </a:p>
        <a:p>
          <a:r>
            <a:rPr lang="en-US" sz="1200" baseline="0">
              <a:solidFill>
                <a:schemeClr val="dk1"/>
              </a:solidFill>
              <a:effectLst/>
              <a:latin typeface="+mn-lt"/>
              <a:ea typeface="+mn-ea"/>
              <a:cs typeface="+mn-cs"/>
            </a:rPr>
            <a:t>14. Open the 'Cost Estimator-Actual' sheet. </a:t>
          </a:r>
        </a:p>
        <a:p>
          <a:r>
            <a:rPr lang="en-US" sz="1200" baseline="0">
              <a:solidFill>
                <a:schemeClr val="dk1"/>
              </a:solidFill>
              <a:effectLst/>
              <a:latin typeface="+mn-lt"/>
              <a:ea typeface="+mn-ea"/>
              <a:cs typeface="+mn-cs"/>
            </a:rPr>
            <a:t>15.  Use the dropdown boxes to select Region, Operation Type, CSI vs Non-CSI Authorizer, and Operating Days</a:t>
          </a:r>
        </a:p>
        <a:p>
          <a:r>
            <a:rPr lang="en-US" sz="1200" baseline="0">
              <a:solidFill>
                <a:schemeClr val="dk1"/>
              </a:solidFill>
              <a:effectLst/>
              <a:latin typeface="+mn-lt"/>
              <a:ea typeface="+mn-ea"/>
              <a:cs typeface="+mn-cs"/>
            </a:rPr>
            <a:t>16. Remaining data on this sheet should not be edited and is only for reference. </a:t>
          </a:r>
          <a:endParaRPr lang="en-US" sz="1200">
            <a:effectLst/>
          </a:endParaRPr>
        </a:p>
        <a:p>
          <a:r>
            <a:rPr lang="en-US" sz="1200" baseline="0">
              <a:solidFill>
                <a:schemeClr val="dk1"/>
              </a:solidFill>
              <a:effectLst/>
              <a:latin typeface="+mn-lt"/>
              <a:ea typeface="+mn-ea"/>
              <a:cs typeface="+mn-cs"/>
            </a:rPr>
            <a:t>17. Anticipated Program Cost is calculated in the last table for the year and the day - based on number of operating days. A negative number (indicated with green) indicates that the program will have a positive balance and will not need general funds to cover costs. A positive number (indicated with red) indicates the program will have a negative balance and will need to use the general fund to cover costs. You can now use these numbers for reference. </a:t>
          </a:r>
          <a:endParaRPr lang="en-US"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171449</xdr:colOff>
      <xdr:row>0</xdr:row>
      <xdr:rowOff>101605</xdr:rowOff>
    </xdr:from>
    <xdr:to>
      <xdr:col>8</xdr:col>
      <xdr:colOff>276227</xdr:colOff>
      <xdr:row>5</xdr:row>
      <xdr:rowOff>57153</xdr:rowOff>
    </xdr:to>
    <xdr:sp macro="" textlink="">
      <xdr:nvSpPr>
        <xdr:cNvPr id="2" name="Speech Bubble: Rectangle 1">
          <a:extLst>
            <a:ext uri="{FF2B5EF4-FFF2-40B4-BE49-F238E27FC236}">
              <a16:creationId xmlns:a16="http://schemas.microsoft.com/office/drawing/2014/main" id="{2196B614-8A68-14C5-0308-032144E55DA5}"/>
            </a:ext>
          </a:extLst>
        </xdr:cNvPr>
        <xdr:cNvSpPr/>
      </xdr:nvSpPr>
      <xdr:spPr>
        <a:xfrm rot="5400000">
          <a:off x="6961189" y="-373060"/>
          <a:ext cx="984248" cy="1933578"/>
        </a:xfrm>
        <a:prstGeom prst="wedgeRectCallou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247650</xdr:colOff>
      <xdr:row>1</xdr:row>
      <xdr:rowOff>0</xdr:rowOff>
    </xdr:from>
    <xdr:to>
      <xdr:col>8</xdr:col>
      <xdr:colOff>152400</xdr:colOff>
      <xdr:row>4</xdr:row>
      <xdr:rowOff>161925</xdr:rowOff>
    </xdr:to>
    <xdr:sp macro="" textlink="">
      <xdr:nvSpPr>
        <xdr:cNvPr id="3" name="TextBox 2">
          <a:extLst>
            <a:ext uri="{FF2B5EF4-FFF2-40B4-BE49-F238E27FC236}">
              <a16:creationId xmlns:a16="http://schemas.microsoft.com/office/drawing/2014/main" id="{9B6706B9-3B60-708D-6D0A-091F036F42F7}"/>
            </a:ext>
          </a:extLst>
        </xdr:cNvPr>
        <xdr:cNvSpPr txBox="1"/>
      </xdr:nvSpPr>
      <xdr:spPr>
        <a:xfrm>
          <a:off x="6562725" y="238125"/>
          <a:ext cx="1733550"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Enter enrollment</a:t>
          </a:r>
          <a:r>
            <a:rPr lang="en-US" sz="1100" baseline="0"/>
            <a:t> and anticipated participation. </a:t>
          </a:r>
          <a:endParaRPr lang="en-US" sz="1100"/>
        </a:p>
      </xdr:txBody>
    </xdr:sp>
    <xdr:clientData/>
  </xdr:twoCellAnchor>
  <xdr:twoCellAnchor>
    <xdr:from>
      <xdr:col>2</xdr:col>
      <xdr:colOff>200025</xdr:colOff>
      <xdr:row>14</xdr:row>
      <xdr:rowOff>57150</xdr:rowOff>
    </xdr:from>
    <xdr:to>
      <xdr:col>4</xdr:col>
      <xdr:colOff>866775</xdr:colOff>
      <xdr:row>28</xdr:row>
      <xdr:rowOff>104775</xdr:rowOff>
    </xdr:to>
    <xdr:sp macro="" textlink="">
      <xdr:nvSpPr>
        <xdr:cNvPr id="4" name="TextBox 3">
          <a:extLst>
            <a:ext uri="{FF2B5EF4-FFF2-40B4-BE49-F238E27FC236}">
              <a16:creationId xmlns:a16="http://schemas.microsoft.com/office/drawing/2014/main" id="{717529D9-9287-31DE-5F34-8A65F861E9C6}"/>
            </a:ext>
          </a:extLst>
        </xdr:cNvPr>
        <xdr:cNvSpPr txBox="1"/>
      </xdr:nvSpPr>
      <xdr:spPr>
        <a:xfrm>
          <a:off x="3457575" y="2724150"/>
          <a:ext cx="1876425" cy="2219325"/>
        </a:xfrm>
        <a:prstGeom prst="rect">
          <a:avLst/>
        </a:prstGeom>
        <a:solidFill>
          <a:schemeClr val="lt1"/>
        </a:solidFill>
        <a:ln w="9525" cmpd="sng">
          <a:solidFill>
            <a:schemeClr val="tx2">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Average meal cost can change depending on</a:t>
          </a:r>
          <a:r>
            <a:rPr lang="en-US" sz="1100" baseline="0"/>
            <a:t> grades served, distributors, offer vs serve, and products ordered. </a:t>
          </a:r>
          <a:endParaRPr lang="en-US" sz="1100"/>
        </a:p>
        <a:p>
          <a:endParaRPr lang="en-US" sz="1100"/>
        </a:p>
        <a:p>
          <a:r>
            <a:rPr lang="en-US" sz="1100"/>
            <a:t>Fees are determined each school year. Commodities are reimbursed for lunch counts only.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1104899</xdr:colOff>
      <xdr:row>10</xdr:row>
      <xdr:rowOff>63499</xdr:rowOff>
    </xdr:from>
    <xdr:to>
      <xdr:col>6</xdr:col>
      <xdr:colOff>1295399</xdr:colOff>
      <xdr:row>18</xdr:row>
      <xdr:rowOff>9524</xdr:rowOff>
    </xdr:to>
    <xdr:sp macro="" textlink="">
      <xdr:nvSpPr>
        <xdr:cNvPr id="4" name="Speech Bubble: Rectangle 3">
          <a:extLst>
            <a:ext uri="{FF2B5EF4-FFF2-40B4-BE49-F238E27FC236}">
              <a16:creationId xmlns:a16="http://schemas.microsoft.com/office/drawing/2014/main" id="{C31A1F09-F31A-0E18-BDF2-5AFA28BE333D}"/>
            </a:ext>
          </a:extLst>
        </xdr:cNvPr>
        <xdr:cNvSpPr/>
      </xdr:nvSpPr>
      <xdr:spPr>
        <a:xfrm rot="10800000">
          <a:off x="6267449" y="2006599"/>
          <a:ext cx="1666875" cy="1393825"/>
        </a:xfrm>
        <a:prstGeom prst="wedgeRectCallou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rgbClr val="FFFF00"/>
            </a:solidFill>
          </a:endParaRPr>
        </a:p>
      </xdr:txBody>
    </xdr:sp>
    <xdr:clientData/>
  </xdr:twoCellAnchor>
  <xdr:twoCellAnchor>
    <xdr:from>
      <xdr:col>5</xdr:col>
      <xdr:colOff>1200150</xdr:colOff>
      <xdr:row>11</xdr:row>
      <xdr:rowOff>28575</xdr:rowOff>
    </xdr:from>
    <xdr:to>
      <xdr:col>6</xdr:col>
      <xdr:colOff>1181100</xdr:colOff>
      <xdr:row>17</xdr:row>
      <xdr:rowOff>104775</xdr:rowOff>
    </xdr:to>
    <xdr:sp macro="" textlink="">
      <xdr:nvSpPr>
        <xdr:cNvPr id="5" name="TextBox 4">
          <a:extLst>
            <a:ext uri="{FF2B5EF4-FFF2-40B4-BE49-F238E27FC236}">
              <a16:creationId xmlns:a16="http://schemas.microsoft.com/office/drawing/2014/main" id="{3CFFB90E-D5DE-E3CB-B5EE-FC938ACF9AC5}"/>
            </a:ext>
          </a:extLst>
        </xdr:cNvPr>
        <xdr:cNvSpPr txBox="1"/>
      </xdr:nvSpPr>
      <xdr:spPr>
        <a:xfrm>
          <a:off x="6362700" y="2152650"/>
          <a:ext cx="1457325" cy="1162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Fill in desired number of staff. If position type is not wanted,</a:t>
          </a:r>
          <a:r>
            <a:rPr lang="en-US" sz="1100" baseline="0"/>
            <a:t> enter 0. Make sure your region has data for desired staff</a:t>
          </a:r>
        </a:p>
        <a:p>
          <a:endParaRPr lang="en-US" sz="1100"/>
        </a:p>
      </xdr:txBody>
    </xdr:sp>
    <xdr:clientData/>
  </xdr:twoCellAnchor>
  <xdr:twoCellAnchor>
    <xdr:from>
      <xdr:col>2</xdr:col>
      <xdr:colOff>247650</xdr:colOff>
      <xdr:row>1</xdr:row>
      <xdr:rowOff>101600</xdr:rowOff>
    </xdr:from>
    <xdr:to>
      <xdr:col>4</xdr:col>
      <xdr:colOff>304800</xdr:colOff>
      <xdr:row>8</xdr:row>
      <xdr:rowOff>177800</xdr:rowOff>
    </xdr:to>
    <xdr:sp macro="" textlink="">
      <xdr:nvSpPr>
        <xdr:cNvPr id="6" name="Speech Bubble: Rectangle 5">
          <a:extLst>
            <a:ext uri="{FF2B5EF4-FFF2-40B4-BE49-F238E27FC236}">
              <a16:creationId xmlns:a16="http://schemas.microsoft.com/office/drawing/2014/main" id="{E1D7F306-FED0-D6A8-9007-78E28EFB9CB4}"/>
            </a:ext>
          </a:extLst>
        </xdr:cNvPr>
        <xdr:cNvSpPr/>
      </xdr:nvSpPr>
      <xdr:spPr>
        <a:xfrm rot="5400000">
          <a:off x="3514725" y="406400"/>
          <a:ext cx="1409700" cy="1276350"/>
        </a:xfrm>
        <a:prstGeom prst="wedgeRectCallou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342900</xdr:colOff>
      <xdr:row>1</xdr:row>
      <xdr:rowOff>200025</xdr:rowOff>
    </xdr:from>
    <xdr:to>
      <xdr:col>4</xdr:col>
      <xdr:colOff>180975</xdr:colOff>
      <xdr:row>8</xdr:row>
      <xdr:rowOff>66675</xdr:rowOff>
    </xdr:to>
    <xdr:sp macro="" textlink="">
      <xdr:nvSpPr>
        <xdr:cNvPr id="7" name="TextBox 6">
          <a:extLst>
            <a:ext uri="{FF2B5EF4-FFF2-40B4-BE49-F238E27FC236}">
              <a16:creationId xmlns:a16="http://schemas.microsoft.com/office/drawing/2014/main" id="{22A8580C-E7FD-6610-FA84-3FD3A40C80F3}"/>
            </a:ext>
          </a:extLst>
        </xdr:cNvPr>
        <xdr:cNvSpPr txBox="1"/>
      </xdr:nvSpPr>
      <xdr:spPr>
        <a:xfrm>
          <a:off x="3676650" y="438150"/>
          <a:ext cx="1057275" cy="1200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Select appropriate drop down for Region, Rate, Service Type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339725</xdr:colOff>
      <xdr:row>1</xdr:row>
      <xdr:rowOff>34926</xdr:rowOff>
    </xdr:from>
    <xdr:to>
      <xdr:col>5</xdr:col>
      <xdr:colOff>104775</xdr:colOff>
      <xdr:row>8</xdr:row>
      <xdr:rowOff>139701</xdr:rowOff>
    </xdr:to>
    <xdr:sp macro="" textlink="">
      <xdr:nvSpPr>
        <xdr:cNvPr id="2" name="Speech Bubble: Rectangle 1">
          <a:extLst>
            <a:ext uri="{FF2B5EF4-FFF2-40B4-BE49-F238E27FC236}">
              <a16:creationId xmlns:a16="http://schemas.microsoft.com/office/drawing/2014/main" id="{6BB0C137-44A0-40F7-A9AF-BB52A80EB2B1}"/>
            </a:ext>
          </a:extLst>
        </xdr:cNvPr>
        <xdr:cNvSpPr/>
      </xdr:nvSpPr>
      <xdr:spPr>
        <a:xfrm rot="5400000">
          <a:off x="4846637" y="100014"/>
          <a:ext cx="1247775" cy="1593850"/>
        </a:xfrm>
        <a:prstGeom prst="wedgeRectCallout">
          <a:avLst>
            <a:gd name="adj1" fmla="val -8333"/>
            <a:gd name="adj2" fmla="val 61302"/>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419099</xdr:colOff>
      <xdr:row>1</xdr:row>
      <xdr:rowOff>82550</xdr:rowOff>
    </xdr:from>
    <xdr:to>
      <xdr:col>5</xdr:col>
      <xdr:colOff>3174</xdr:colOff>
      <xdr:row>8</xdr:row>
      <xdr:rowOff>76200</xdr:rowOff>
    </xdr:to>
    <xdr:sp macro="" textlink="">
      <xdr:nvSpPr>
        <xdr:cNvPr id="3" name="TextBox 2">
          <a:extLst>
            <a:ext uri="{FF2B5EF4-FFF2-40B4-BE49-F238E27FC236}">
              <a16:creationId xmlns:a16="http://schemas.microsoft.com/office/drawing/2014/main" id="{163EAB7F-D126-6591-EF86-DD19F31083D8}"/>
            </a:ext>
          </a:extLst>
        </xdr:cNvPr>
        <xdr:cNvSpPr txBox="1"/>
      </xdr:nvSpPr>
      <xdr:spPr>
        <a:xfrm>
          <a:off x="4752974" y="320675"/>
          <a:ext cx="1412875" cy="1136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Select appropriate drop down for Region, Operation Type, CSI vs Non-CSI Authorizer, Number of Operating Days</a:t>
          </a:r>
          <a:endParaRPr lang="en-US">
            <a:effectLst/>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339724</xdr:colOff>
      <xdr:row>0</xdr:row>
      <xdr:rowOff>161926</xdr:rowOff>
    </xdr:from>
    <xdr:to>
      <xdr:col>5</xdr:col>
      <xdr:colOff>101599</xdr:colOff>
      <xdr:row>8</xdr:row>
      <xdr:rowOff>76200</xdr:rowOff>
    </xdr:to>
    <xdr:sp macro="" textlink="">
      <xdr:nvSpPr>
        <xdr:cNvPr id="2" name="Speech Bubble: Rectangle 1">
          <a:extLst>
            <a:ext uri="{FF2B5EF4-FFF2-40B4-BE49-F238E27FC236}">
              <a16:creationId xmlns:a16="http://schemas.microsoft.com/office/drawing/2014/main" id="{A46F3441-0EE6-4C00-921F-0314F8960BB9}"/>
            </a:ext>
          </a:extLst>
        </xdr:cNvPr>
        <xdr:cNvSpPr/>
      </xdr:nvSpPr>
      <xdr:spPr>
        <a:xfrm rot="5400000">
          <a:off x="4821237" y="14288"/>
          <a:ext cx="1295399" cy="1590675"/>
        </a:xfrm>
        <a:prstGeom prst="wedgeRectCallout">
          <a:avLst>
            <a:gd name="adj1" fmla="val -8333"/>
            <a:gd name="adj2" fmla="val 61302"/>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441324</xdr:colOff>
      <xdr:row>0</xdr:row>
      <xdr:rowOff>209550</xdr:rowOff>
    </xdr:from>
    <xdr:to>
      <xdr:col>5</xdr:col>
      <xdr:colOff>19049</xdr:colOff>
      <xdr:row>6</xdr:row>
      <xdr:rowOff>161925</xdr:rowOff>
    </xdr:to>
    <xdr:sp macro="" textlink="">
      <xdr:nvSpPr>
        <xdr:cNvPr id="3" name="TextBox 2">
          <a:extLst>
            <a:ext uri="{FF2B5EF4-FFF2-40B4-BE49-F238E27FC236}">
              <a16:creationId xmlns:a16="http://schemas.microsoft.com/office/drawing/2014/main" id="{0DDB5F78-7171-4399-B3C3-0BC3926E9D6C}"/>
            </a:ext>
          </a:extLst>
        </xdr:cNvPr>
        <xdr:cNvSpPr txBox="1"/>
      </xdr:nvSpPr>
      <xdr:spPr>
        <a:xfrm>
          <a:off x="4775199" y="209550"/>
          <a:ext cx="1406525" cy="1152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Select appropriate drop down for Region, Operation Type, CSI vs Non-CSI Authorizer, Number of Operating</a:t>
          </a:r>
          <a:r>
            <a:rPr lang="en-US" sz="1100" baseline="0">
              <a:solidFill>
                <a:schemeClr val="dk1"/>
              </a:solidFill>
              <a:effectLst/>
              <a:latin typeface="+mn-lt"/>
              <a:ea typeface="+mn-ea"/>
              <a:cs typeface="+mn-cs"/>
            </a:rPr>
            <a:t> Days</a:t>
          </a:r>
          <a:endParaRPr lang="en-US">
            <a:effectLst/>
          </a:endParaRPr>
        </a:p>
        <a:p>
          <a:endParaRPr lang="en-US" sz="1100"/>
        </a:p>
      </xdr:txBody>
    </xdr:sp>
    <xdr:clientData/>
  </xdr:twoCellAnchor>
  <xdr:twoCellAnchor>
    <xdr:from>
      <xdr:col>2</xdr:col>
      <xdr:colOff>323849</xdr:colOff>
      <xdr:row>10</xdr:row>
      <xdr:rowOff>0</xdr:rowOff>
    </xdr:from>
    <xdr:to>
      <xdr:col>4</xdr:col>
      <xdr:colOff>565149</xdr:colOff>
      <xdr:row>17</xdr:row>
      <xdr:rowOff>47624</xdr:rowOff>
    </xdr:to>
    <xdr:sp macro="" textlink="">
      <xdr:nvSpPr>
        <xdr:cNvPr id="4" name="Speech Bubble: Rectangle 3">
          <a:extLst>
            <a:ext uri="{FF2B5EF4-FFF2-40B4-BE49-F238E27FC236}">
              <a16:creationId xmlns:a16="http://schemas.microsoft.com/office/drawing/2014/main" id="{A585CEB5-FF28-D03B-6BD5-A176910932AC}"/>
            </a:ext>
          </a:extLst>
        </xdr:cNvPr>
        <xdr:cNvSpPr/>
      </xdr:nvSpPr>
      <xdr:spPr>
        <a:xfrm rot="5400000">
          <a:off x="4911724" y="1489075"/>
          <a:ext cx="952499" cy="1460500"/>
        </a:xfrm>
        <a:prstGeom prst="wedgeRectCallou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387350</xdr:colOff>
      <xdr:row>10</xdr:row>
      <xdr:rowOff>38100</xdr:rowOff>
    </xdr:from>
    <xdr:to>
      <xdr:col>4</xdr:col>
      <xdr:colOff>501650</xdr:colOff>
      <xdr:row>16</xdr:row>
      <xdr:rowOff>142875</xdr:rowOff>
    </xdr:to>
    <xdr:sp macro="" textlink="">
      <xdr:nvSpPr>
        <xdr:cNvPr id="5" name="TextBox 4">
          <a:extLst>
            <a:ext uri="{FF2B5EF4-FFF2-40B4-BE49-F238E27FC236}">
              <a16:creationId xmlns:a16="http://schemas.microsoft.com/office/drawing/2014/main" id="{2EFE7108-20D5-F808-094B-E0B705B51197}"/>
            </a:ext>
          </a:extLst>
        </xdr:cNvPr>
        <xdr:cNvSpPr txBox="1"/>
      </xdr:nvSpPr>
      <xdr:spPr>
        <a:xfrm>
          <a:off x="4721225" y="1781175"/>
          <a:ext cx="1333500"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Add</a:t>
          </a:r>
          <a:r>
            <a:rPr lang="en-US" sz="1100" baseline="0"/>
            <a:t> actual meal cost calculated (self-prep) or contract (vended)</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236265</xdr:colOff>
      <xdr:row>3</xdr:row>
      <xdr:rowOff>181522</xdr:rowOff>
    </xdr:from>
    <xdr:to>
      <xdr:col>17</xdr:col>
      <xdr:colOff>179771</xdr:colOff>
      <xdr:row>28</xdr:row>
      <xdr:rowOff>175171</xdr:rowOff>
    </xdr:to>
    <xdr:sp macro="" textlink="">
      <xdr:nvSpPr>
        <xdr:cNvPr id="3" name="TextBox 2">
          <a:extLst>
            <a:ext uri="{FF2B5EF4-FFF2-40B4-BE49-F238E27FC236}">
              <a16:creationId xmlns:a16="http://schemas.microsoft.com/office/drawing/2014/main" id="{32392835-EC17-7F8C-2E93-F75568F24076}"/>
            </a:ext>
          </a:extLst>
        </xdr:cNvPr>
        <xdr:cNvSpPr txBox="1"/>
      </xdr:nvSpPr>
      <xdr:spPr>
        <a:xfrm>
          <a:off x="13330403" y="794625"/>
          <a:ext cx="2395920" cy="4646667"/>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lang="en-US" sz="1200" b="1">
              <a:solidFill>
                <a:schemeClr val="dk1"/>
              </a:solidFill>
              <a:effectLst/>
              <a:latin typeface="+mn-lt"/>
              <a:ea typeface="+mn-ea"/>
              <a:cs typeface="+mn-cs"/>
            </a:rPr>
            <a:t>Conventional system</a:t>
          </a:r>
          <a:r>
            <a:rPr lang="en-US" sz="1200">
              <a:solidFill>
                <a:schemeClr val="dk1"/>
              </a:solidFill>
              <a:effectLst/>
              <a:latin typeface="+mn-lt"/>
              <a:ea typeface="+mn-ea"/>
              <a:cs typeface="+mn-cs"/>
            </a:rPr>
            <a:t> is preparation of some foods from raw ingredients on premises (using some bakery breads and prepared pizza and washing dishes) . </a:t>
          </a:r>
          <a:endParaRPr lang="en-US" sz="1200">
            <a:effectLst/>
          </a:endParaRPr>
        </a:p>
        <a:p>
          <a:pPr rtl="0" eaLnBrk="1" latinLnBrk="0" hangingPunct="1"/>
          <a:r>
            <a:rPr lang="en-US" sz="1200" b="1">
              <a:solidFill>
                <a:schemeClr val="dk1"/>
              </a:solidFill>
              <a:effectLst/>
              <a:latin typeface="+mn-lt"/>
              <a:ea typeface="+mn-ea"/>
              <a:cs typeface="+mn-cs"/>
            </a:rPr>
            <a:t>Convenience system </a:t>
          </a:r>
          <a:r>
            <a:rPr lang="en-US" sz="1200">
              <a:solidFill>
                <a:schemeClr val="dk1"/>
              </a:solidFill>
              <a:effectLst/>
              <a:latin typeface="+mn-lt"/>
              <a:ea typeface="+mn-ea"/>
              <a:cs typeface="+mn-cs"/>
            </a:rPr>
            <a:t>is using maximum amount of processed foods (e.g. using all bakery breads, precooked </a:t>
          </a:r>
          <a:endParaRPr lang="en-US" sz="1200">
            <a:effectLst/>
          </a:endParaRPr>
        </a:p>
        <a:p>
          <a:pPr rtl="0" eaLnBrk="1" latinLnBrk="0" hangingPunct="1"/>
          <a:r>
            <a:rPr lang="en-US" sz="1200">
              <a:solidFill>
                <a:schemeClr val="dk1"/>
              </a:solidFill>
              <a:effectLst/>
              <a:latin typeface="+mn-lt"/>
              <a:ea typeface="+mn-ea"/>
              <a:cs typeface="+mn-cs"/>
            </a:rPr>
            <a:t>chicken, ready to serve raw fruits and vegetables, pre-portioned condiments and washing only trays and using </a:t>
          </a:r>
          <a:endParaRPr lang="en-US" sz="1200">
            <a:effectLst/>
          </a:endParaRPr>
        </a:p>
        <a:p>
          <a:r>
            <a:rPr lang="en-US" sz="1200">
              <a:solidFill>
                <a:schemeClr val="dk1"/>
              </a:solidFill>
              <a:effectLst/>
              <a:latin typeface="+mn-lt"/>
              <a:ea typeface="+mn-ea"/>
              <a:cs typeface="+mn-cs"/>
            </a:rPr>
            <a:t>disposable dinnerware).</a:t>
          </a:r>
          <a:r>
            <a:rPr lang="en-US" sz="1200" baseline="0">
              <a:solidFill>
                <a:schemeClr val="dk1"/>
              </a:solidFill>
              <a:effectLst/>
              <a:latin typeface="+mn-lt"/>
              <a:ea typeface="+mn-ea"/>
              <a:cs typeface="+mn-cs"/>
            </a:rPr>
            <a:t> </a:t>
          </a:r>
        </a:p>
        <a:p>
          <a:r>
            <a:rPr lang="en-US" sz="1200" b="1" baseline="0">
              <a:solidFill>
                <a:schemeClr val="dk1"/>
              </a:solidFill>
              <a:effectLst/>
              <a:latin typeface="+mn-lt"/>
              <a:ea typeface="+mn-ea"/>
              <a:cs typeface="+mn-cs"/>
            </a:rPr>
            <a:t>Vended IW</a:t>
          </a:r>
          <a:r>
            <a:rPr lang="en-US" sz="1200" baseline="0">
              <a:solidFill>
                <a:schemeClr val="dk1"/>
              </a:solidFill>
              <a:effectLst/>
              <a:latin typeface="+mn-lt"/>
              <a:ea typeface="+mn-ea"/>
              <a:cs typeface="+mn-cs"/>
            </a:rPr>
            <a:t> indicates that food is being prepared off-site and serving is happening onsite.  All food is pre-portioned. </a:t>
          </a:r>
        </a:p>
        <a:p>
          <a:r>
            <a:rPr lang="en-US" sz="1200" b="1" baseline="0">
              <a:solidFill>
                <a:schemeClr val="dk1"/>
              </a:solidFill>
              <a:effectLst/>
              <a:latin typeface="+mn-lt"/>
              <a:ea typeface="+mn-ea"/>
              <a:cs typeface="+mn-cs"/>
            </a:rPr>
            <a:t>Vended Bulk</a:t>
          </a:r>
          <a:r>
            <a:rPr lang="en-US" sz="1200" baseline="0">
              <a:solidFill>
                <a:schemeClr val="dk1"/>
              </a:solidFill>
              <a:effectLst/>
              <a:latin typeface="+mn-lt"/>
              <a:ea typeface="+mn-ea"/>
              <a:cs typeface="+mn-cs"/>
            </a:rPr>
            <a:t> indicates that the food is being prepared off-site and serving is happening onsite. All food is portioned onsite prior to service. </a:t>
          </a:r>
          <a:endParaRPr lang="en-US" sz="1200">
            <a:solidFill>
              <a:schemeClr val="dk1"/>
            </a:solidFill>
            <a:effectLst/>
            <a:latin typeface="+mn-lt"/>
            <a:ea typeface="+mn-ea"/>
            <a:cs typeface="+mn-cs"/>
          </a:endParaRPr>
        </a:p>
      </xdr:txBody>
    </xdr:sp>
    <xdr:clientData/>
  </xdr:twoCellAnchor>
  <xdr:twoCellAnchor>
    <xdr:from>
      <xdr:col>7</xdr:col>
      <xdr:colOff>280056</xdr:colOff>
      <xdr:row>32</xdr:row>
      <xdr:rowOff>170575</xdr:rowOff>
    </xdr:from>
    <xdr:to>
      <xdr:col>16</xdr:col>
      <xdr:colOff>375415</xdr:colOff>
      <xdr:row>55</xdr:row>
      <xdr:rowOff>115835</xdr:rowOff>
    </xdr:to>
    <xdr:sp macro="" textlink="">
      <xdr:nvSpPr>
        <xdr:cNvPr id="4" name="TextBox 3">
          <a:extLst>
            <a:ext uri="{FF2B5EF4-FFF2-40B4-BE49-F238E27FC236}">
              <a16:creationId xmlns:a16="http://schemas.microsoft.com/office/drawing/2014/main" id="{47BBDFC2-EB01-E7D8-9778-CBDD8F6AE945}"/>
            </a:ext>
          </a:extLst>
        </xdr:cNvPr>
        <xdr:cNvSpPr txBox="1"/>
      </xdr:nvSpPr>
      <xdr:spPr>
        <a:xfrm>
          <a:off x="8710228" y="6181178"/>
          <a:ext cx="6598635" cy="4226036"/>
        </a:xfrm>
        <a:prstGeom prst="rect">
          <a:avLst/>
        </a:prstGeom>
        <a:solidFill>
          <a:schemeClr val="lt1"/>
        </a:solidFill>
        <a:ln w="9525" cmpd="sng">
          <a:solidFill>
            <a:schemeClr val="tx2">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Kitchen Manager</a:t>
          </a:r>
          <a:r>
            <a:rPr lang="en-US" sz="1200"/>
            <a:t>: Supervise and direct kitchen team, including on-the-job training and performance monitoring. Manage daily production records, inventory, and financial records. Assist with meal preparation and service. Coordinate and communicate with principal, school staff, parents, and supervisors to resolve issues.</a:t>
          </a:r>
        </a:p>
        <a:p>
          <a:r>
            <a:rPr lang="en-US" sz="1200"/>
            <a:t>	FT = 8 hrs/day </a:t>
          </a:r>
        </a:p>
        <a:p>
          <a:endParaRPr lang="en-US" sz="1200"/>
        </a:p>
        <a:p>
          <a:r>
            <a:rPr lang="en-US" sz="1200" b="1"/>
            <a:t>Cook:</a:t>
          </a:r>
          <a:r>
            <a:rPr lang="en-US" sz="1200"/>
            <a:t> Assist the Kitchen Manager with all aspects of food preparation, service, and kitchen operations, including supervising and training staff in their absence. Manage financial records, reports, ordering, receiving, and inventory of food and supplies. Prepare and serve a full range of school meals, including line setup, replenishment, and point-of-sale operations. Maintain a clean, sanitary kitchen in compliance with Health Department standards, safety procedures, and all applicable state and federal regulations. Demonstrate exceptional customer service.</a:t>
          </a:r>
        </a:p>
        <a:p>
          <a:r>
            <a:rPr lang="en-US" sz="1200"/>
            <a:t>	FT =</a:t>
          </a:r>
          <a:r>
            <a:rPr lang="en-US" sz="1200" baseline="0"/>
            <a:t> 6 hrs/day </a:t>
          </a:r>
          <a:r>
            <a:rPr lang="en-US" sz="1200"/>
            <a:t>	</a:t>
          </a:r>
        </a:p>
        <a:p>
          <a:r>
            <a:rPr lang="en-US" sz="1200"/>
            <a:t>	PT = 3 hrs/day</a:t>
          </a:r>
        </a:p>
        <a:p>
          <a:endParaRPr lang="en-US" sz="1200"/>
        </a:p>
        <a:p>
          <a:r>
            <a:rPr lang="en-US" sz="1200" b="1"/>
            <a:t>Food Service Worker</a:t>
          </a:r>
          <a:r>
            <a:rPr lang="en-US" sz="1200"/>
            <a:t>: Prepare and serve meals following approved recipes and food safety standards. Maintain a clean, sanitary kitchen and care for equipment. Label and store food properly. Support team members with daily work demands and interact positively with students, staff, and the broader school community.</a:t>
          </a:r>
        </a:p>
        <a:p>
          <a:r>
            <a:rPr lang="en-US" sz="1200"/>
            <a:t>	FT =</a:t>
          </a:r>
          <a:r>
            <a:rPr lang="en-US" sz="1200" baseline="0"/>
            <a:t> 6 hrs/day </a:t>
          </a:r>
        </a:p>
        <a:p>
          <a:r>
            <a:rPr lang="en-US" sz="1200" baseline="0"/>
            <a:t>	PT = 4 hrs/day </a:t>
          </a:r>
        </a:p>
        <a:p>
          <a:endParaRPr lang="en-US" sz="1100"/>
        </a:p>
      </xdr:txBody>
    </xdr:sp>
    <xdr:clientData/>
  </xdr:twoCellAnchor>
  <xdr:twoCellAnchor>
    <xdr:from>
      <xdr:col>3</xdr:col>
      <xdr:colOff>10948</xdr:colOff>
      <xdr:row>47</xdr:row>
      <xdr:rowOff>175172</xdr:rowOff>
    </xdr:from>
    <xdr:to>
      <xdr:col>6</xdr:col>
      <xdr:colOff>1160517</xdr:colOff>
      <xdr:row>55</xdr:row>
      <xdr:rowOff>76638</xdr:rowOff>
    </xdr:to>
    <xdr:sp macro="" textlink="">
      <xdr:nvSpPr>
        <xdr:cNvPr id="2" name="TextBox 1">
          <a:extLst>
            <a:ext uri="{FF2B5EF4-FFF2-40B4-BE49-F238E27FC236}">
              <a16:creationId xmlns:a16="http://schemas.microsoft.com/office/drawing/2014/main" id="{50F09BA7-B3C7-9CFE-F2AD-CE8DFDF63C27}"/>
            </a:ext>
          </a:extLst>
        </xdr:cNvPr>
        <xdr:cNvSpPr txBox="1"/>
      </xdr:nvSpPr>
      <xdr:spPr>
        <a:xfrm>
          <a:off x="3459655" y="8977586"/>
          <a:ext cx="3678621" cy="1390431"/>
        </a:xfrm>
        <a:prstGeom prst="rect">
          <a:avLst/>
        </a:prstGeom>
        <a:solidFill>
          <a:schemeClr val="lt1"/>
        </a:solidFill>
        <a:ln w="9525" cmpd="sng">
          <a:solidFill>
            <a:schemeClr val="tx2">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Min</a:t>
          </a:r>
          <a:r>
            <a:rPr lang="en-US" sz="1200" b="0"/>
            <a:t>: The lower value</a:t>
          </a:r>
          <a:r>
            <a:rPr lang="en-US" sz="1200" b="0" baseline="0"/>
            <a:t> of a given range. </a:t>
          </a:r>
        </a:p>
        <a:p>
          <a:r>
            <a:rPr lang="en-US" sz="1200" b="1" baseline="0"/>
            <a:t>Max: </a:t>
          </a:r>
          <a:r>
            <a:rPr lang="en-US" sz="1200" b="0" baseline="0"/>
            <a:t>The higher value of a given range. </a:t>
          </a:r>
        </a:p>
        <a:p>
          <a:r>
            <a:rPr lang="en-US" sz="1200" b="0" baseline="0"/>
            <a:t>Average: The average value of the given range. </a:t>
          </a:r>
        </a:p>
        <a:p>
          <a:r>
            <a:rPr lang="en-US" sz="1200" b="1" baseline="0"/>
            <a:t>Full Time Benefits: </a:t>
          </a:r>
          <a:r>
            <a:rPr lang="en-US" sz="1200" b="0" baseline="0"/>
            <a:t>Using the average value with 30% added for the cost of benefits. This is ONLY for full time employees. </a:t>
          </a:r>
          <a:endParaRPr lang="en-US" sz="1200" b="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3589C48-B0BE-478B-AA08-6D0307537090}" name="MealCostTable" displayName="MealCostTable" ref="A9:D11" totalsRowShown="0" headerRowBorderDxfId="32" tableBorderDxfId="31" totalsRowBorderDxfId="30">
  <autoFilter ref="A9:D11" xr:uid="{A3589C48-B0BE-478B-AA08-6D0307537090}"/>
  <tableColumns count="4">
    <tableColumn id="1" xr3:uid="{E3FBDD49-E5BF-464F-99FE-767A8781A3ED}" name="Meal Cost" dataDxfId="29"/>
    <tableColumn id="2" xr3:uid="{75764EA4-3759-45A1-95A9-735EB8729514}" name="Breakfast" dataDxfId="28"/>
    <tableColumn id="3" xr3:uid="{48463029-2B6F-41EA-8CC2-15950CDCF32F}" name="Lunch"/>
    <tableColumn id="4" xr3:uid="{BBEC0D3C-76CA-4F0C-ABF2-3B38B1568F07}" name="Snack"/>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B62E802-FE8C-4867-8CB0-ACBC98E3E3D2}" name="Table9" displayName="Table9" ref="A3:E6" totalsRowShown="0" headerRowDxfId="27" headerRowBorderDxfId="26" tableBorderDxfId="25">
  <autoFilter ref="A3:E6" xr:uid="{5B62E802-FE8C-4867-8CB0-ACBC98E3E3D2}"/>
  <tableColumns count="5">
    <tableColumn id="1" xr3:uid="{CB078691-1AA3-48D1-A5CC-9586F7068737}" name="Participation"/>
    <tableColumn id="2" xr3:uid="{A092C2E6-665C-4372-94FB-2BFEB3523E46}" name="Breakfast"/>
    <tableColumn id="3" xr3:uid="{B6D4E1E8-B866-458F-B6C1-3D2B36721935}" name="Lunch"/>
    <tableColumn id="5" xr3:uid="{4E1EACD6-6368-4D4A-8D22-8C61A5FED4E5}" name="Snack"/>
    <tableColumn id="4" xr3:uid="{FE6CD011-A4D3-4326-9927-E919CED2C097}" name="Meal Equivalents" dataDxfId="24">
      <calculatedColumnFormula>(B4*0.67)+C4+(Table9[[#This Row],[Snack]]*0.33)</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DBBF79-E4C5-4B74-9023-70B063164C36}" name="Table10" displayName="Table10" ref="A14:B18" totalsRowShown="0" headerRowDxfId="23" headerRowBorderDxfId="22" tableBorderDxfId="21" totalsRowBorderDxfId="20">
  <autoFilter ref="A14:B18" xr:uid="{D2DBBF79-E4C5-4B74-9023-70B063164C36}"/>
  <tableColumns count="2">
    <tableColumn id="1" xr3:uid="{724048E2-EAC0-47F3-AFE5-EF547D7B870A}" name="Reimbursement for SY 25-26" dataDxfId="19"/>
    <tableColumn id="2" xr3:uid="{FE37F83B-7B6D-4EC1-85C8-FC5BA7179D55}" name="Cost" dataDxfId="1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F90240E-3954-4730-9082-78B1056B9C16}" name="Table11" displayName="Table11" ref="A21:B24" totalsRowShown="0" headerRowDxfId="17" headerRowBorderDxfId="16" tableBorderDxfId="15" totalsRowBorderDxfId="14">
  <autoFilter ref="A21:B24" xr:uid="{1F90240E-3954-4730-9082-78B1056B9C16}"/>
  <tableColumns count="2">
    <tableColumn id="1" xr3:uid="{0053420D-8E87-45AA-ADB4-8E6F1AE2F566}" name="SFA Fees for SY 26-27" dataDxfId="13"/>
    <tableColumn id="2" xr3:uid="{7C25E0E9-922A-4B6C-BE5F-01984D8DF622}" name="Cost" dataDxfId="1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9415EA5-8CA9-4770-98A0-DE3635A879D4}" name="CSI" displayName="CSI" ref="A27:B29" totalsRowShown="0" headerRowDxfId="11" headerRowBorderDxfId="10" tableBorderDxfId="9" totalsRowBorderDxfId="8">
  <autoFilter ref="A27:B29" xr:uid="{C9415EA5-8CA9-4770-98A0-DE3635A879D4}"/>
  <tableColumns count="2">
    <tableColumn id="1" xr3:uid="{6C4A9494-A425-4F57-BB3A-E1F640D6411A}" name="Overhead Fee for SY 26-27" dataDxfId="7"/>
    <tableColumn id="2" xr3:uid="{94863184-20A1-4C5E-B4A2-374518785930}" name="Cost" dataDxfId="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FA85BC4-E099-451C-9915-D6E6F241820A}" name="StaffHours" displayName="StaffHours" ref="F3:H9" totalsRowCount="1">
  <autoFilter ref="F3:H8" xr:uid="{2FA85BC4-E099-451C-9915-D6E6F241820A}"/>
  <tableColumns count="3">
    <tableColumn id="1" xr3:uid="{01EAB8E4-751B-463D-86AC-4329FF100D0C}" name="Position"/>
    <tableColumn id="2" xr3:uid="{B7435025-BE80-4FCD-A3D2-0D2195DBD8BF}" name="Number of Staff" totalsRowFunction="custom" dataDxfId="5" totalsRowDxfId="4">
      <totalsRowFormula>SUM(StaffHours[Number of Staff])</totalsRowFormula>
    </tableColumn>
    <tableColumn id="3" xr3:uid="{D5F2E05D-545D-4F15-A7E5-005C5459C17D}" name="Hours Per Staff" totalsRowFunction="sum"/>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F81AC2-9873-4E2D-9122-0A417BCA9D93}" name="Rates4" displayName="Rates4" ref="B2:G47" totalsRowShown="0">
  <autoFilter ref="B2:G47" xr:uid="{C5F81AC2-9873-4E2D-9122-0A417BCA9D93}">
    <filterColumn colId="0" hiddenButton="1"/>
    <filterColumn colId="1" hiddenButton="1"/>
    <filterColumn colId="2" hiddenButton="1"/>
    <filterColumn colId="3" hiddenButton="1"/>
    <filterColumn colId="4" hiddenButton="1"/>
    <filterColumn colId="5" hiddenButton="1"/>
  </autoFilter>
  <tableColumns count="6">
    <tableColumn id="1" xr3:uid="{26665D60-88F5-4FD6-9375-696C86A35A5A}" name="Region"/>
    <tableColumn id="2" xr3:uid="{47EAA6E2-2E4A-4AD5-8258-C58173287ABF}" name="Position"/>
    <tableColumn id="3" xr3:uid="{CD23174D-6D98-4767-B700-2EFD46577752}" name="Min"/>
    <tableColumn id="4" xr3:uid="{99C086B0-5FE7-4AC8-9859-817B507F1BEC}" name="Max"/>
    <tableColumn id="5" xr3:uid="{D2993AB4-7C3D-41B6-99B6-0C94B113BF9C}" name="Average" dataDxfId="34"/>
    <tableColumn id="6" xr3:uid="{63E28A08-1CBC-4E1F-88DE-41743C491547}" name="Full Time Benefits" dataDxfId="33">
      <calculatedColumnFormula>Rates4[[#This Row],[Average]]*1.3</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E9D0E08-E247-40E7-A7C2-FFBB25E3373B}" name="MPLHTable" displayName="MPLHTable" ref="I2:M32" totalsRowShown="0">
  <autoFilter ref="I2:M32" xr:uid="{77EDBA28-E25F-4A50-8A24-62D5863E773B}">
    <filterColumn colId="0" hiddenButton="1"/>
    <filterColumn colId="1" hiddenButton="1"/>
    <filterColumn colId="2" hiddenButton="1"/>
    <filterColumn colId="3" hiddenButton="1"/>
    <filterColumn colId="4" hiddenButton="1"/>
  </autoFilter>
  <tableColumns count="5">
    <tableColumn id="1" xr3:uid="{004A5C2C-E893-4071-BA85-B171679EAD86}" name="Min Meals"/>
    <tableColumn id="2" xr3:uid="{FF0C4A05-D3BB-4A1F-8FF1-C90A0986EB42}" name="Max Meals"/>
    <tableColumn id="6" xr3:uid="{4261489D-2002-4211-A4C2-422A242F19DA}" name="System Type"/>
    <tableColumn id="4" xr3:uid="{E0F425F1-E8DC-43A4-9F70-7415CABD20C8}" name="Low MPLH"/>
    <tableColumn id="5" xr3:uid="{99AB4DDD-B787-4F9C-9826-5E568A4CD602}" name="High MPLH"/>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BBAE2-456F-43D6-801C-F2C2673D4412}">
  <dimension ref="A1"/>
  <sheetViews>
    <sheetView workbookViewId="0">
      <selection activeCell="S28" sqref="S28"/>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5618A-3942-46D1-9DEE-677A4FDD78D0}">
  <dimension ref="A1:E29"/>
  <sheetViews>
    <sheetView tabSelected="1" workbookViewId="0">
      <selection activeCell="A27" sqref="A27"/>
    </sheetView>
  </sheetViews>
  <sheetFormatPr defaultRowHeight="14.4" x14ac:dyDescent="0.3"/>
  <cols>
    <col min="1" max="1" width="27.21875" customWidth="1"/>
    <col min="2" max="2" width="19.44140625" customWidth="1"/>
    <col min="3" max="5" width="17.44140625" customWidth="1"/>
  </cols>
  <sheetData>
    <row r="1" spans="1:5" ht="18" x14ac:dyDescent="0.35">
      <c r="A1" s="1" t="s">
        <v>43</v>
      </c>
    </row>
    <row r="2" spans="1:5" ht="18" x14ac:dyDescent="0.35">
      <c r="A2" s="1"/>
    </row>
    <row r="3" spans="1:5" x14ac:dyDescent="0.3">
      <c r="A3" s="59" t="s">
        <v>14</v>
      </c>
      <c r="B3" s="23" t="s">
        <v>3</v>
      </c>
      <c r="C3" s="23" t="s">
        <v>4</v>
      </c>
      <c r="D3" s="34" t="s">
        <v>81</v>
      </c>
      <c r="E3" s="34" t="s">
        <v>13</v>
      </c>
    </row>
    <row r="4" spans="1:5" x14ac:dyDescent="0.3">
      <c r="A4" s="20" t="s">
        <v>0</v>
      </c>
      <c r="B4" s="2">
        <v>745</v>
      </c>
      <c r="C4" s="32">
        <v>745</v>
      </c>
      <c r="D4" s="32"/>
      <c r="E4" s="35"/>
    </row>
    <row r="5" spans="1:5" ht="15" thickBot="1" x14ac:dyDescent="0.35">
      <c r="A5" s="25" t="s">
        <v>1</v>
      </c>
      <c r="B5" s="3">
        <v>0.56999999999999995</v>
      </c>
      <c r="C5" s="33">
        <v>0.6</v>
      </c>
      <c r="D5" s="48"/>
      <c r="E5" s="36"/>
    </row>
    <row r="6" spans="1:5" ht="15" thickTop="1" x14ac:dyDescent="0.3">
      <c r="A6" s="30" t="s">
        <v>2</v>
      </c>
      <c r="B6" s="31">
        <f>SUM(B4*B5)</f>
        <v>424.65</v>
      </c>
      <c r="C6" s="31">
        <f>SUM(C4*C5)</f>
        <v>447</v>
      </c>
      <c r="D6" s="28"/>
      <c r="E6" s="28">
        <f>(B6*0.67)+C6+(Table9[[#This Row],[Snack]]*0.33)</f>
        <v>731.51549999999997</v>
      </c>
    </row>
    <row r="9" spans="1:5" x14ac:dyDescent="0.3">
      <c r="A9" s="59" t="s">
        <v>54</v>
      </c>
      <c r="B9" s="23" t="s">
        <v>3</v>
      </c>
      <c r="C9" s="24" t="s">
        <v>4</v>
      </c>
      <c r="D9" s="49" t="s">
        <v>81</v>
      </c>
    </row>
    <row r="10" spans="1:5" x14ac:dyDescent="0.3">
      <c r="A10" s="20" t="s">
        <v>59</v>
      </c>
      <c r="B10" s="19">
        <v>2.37</v>
      </c>
      <c r="C10" s="21">
        <v>4.78</v>
      </c>
      <c r="D10" s="47">
        <v>1.1499999999999999</v>
      </c>
    </row>
    <row r="11" spans="1:5" x14ac:dyDescent="0.3">
      <c r="A11" s="25" t="s">
        <v>44</v>
      </c>
      <c r="B11" s="26">
        <v>1.91</v>
      </c>
      <c r="C11" s="27">
        <v>3.02</v>
      </c>
      <c r="D11" s="5">
        <v>1</v>
      </c>
    </row>
    <row r="12" spans="1:5" x14ac:dyDescent="0.3">
      <c r="A12" s="12"/>
    </row>
    <row r="13" spans="1:5" x14ac:dyDescent="0.3">
      <c r="A13" s="12"/>
    </row>
    <row r="14" spans="1:5" x14ac:dyDescent="0.3">
      <c r="A14" s="59" t="s">
        <v>46</v>
      </c>
      <c r="B14" s="29" t="s">
        <v>53</v>
      </c>
    </row>
    <row r="15" spans="1:5" x14ac:dyDescent="0.3">
      <c r="A15" s="20" t="s">
        <v>3</v>
      </c>
      <c r="B15" s="22">
        <v>2.54</v>
      </c>
    </row>
    <row r="16" spans="1:5" x14ac:dyDescent="0.3">
      <c r="A16" s="20" t="s">
        <v>4</v>
      </c>
      <c r="B16" s="22">
        <v>4.8499999999999996</v>
      </c>
    </row>
    <row r="17" spans="1:2" x14ac:dyDescent="0.3">
      <c r="A17" s="20" t="s">
        <v>81</v>
      </c>
      <c r="B17" s="22">
        <v>1.3</v>
      </c>
    </row>
    <row r="18" spans="1:2" x14ac:dyDescent="0.3">
      <c r="A18" s="25" t="s">
        <v>45</v>
      </c>
      <c r="B18" s="27">
        <v>0.47</v>
      </c>
    </row>
    <row r="21" spans="1:2" x14ac:dyDescent="0.3">
      <c r="A21" s="59" t="s">
        <v>47</v>
      </c>
      <c r="B21" s="29" t="s">
        <v>53</v>
      </c>
    </row>
    <row r="22" spans="1:2" x14ac:dyDescent="0.3">
      <c r="A22" s="20" t="s">
        <v>3</v>
      </c>
      <c r="B22" s="22">
        <v>0.18</v>
      </c>
    </row>
    <row r="23" spans="1:2" x14ac:dyDescent="0.3">
      <c r="A23" s="25" t="s">
        <v>4</v>
      </c>
      <c r="B23" s="27">
        <v>0.26</v>
      </c>
    </row>
    <row r="24" spans="1:2" x14ac:dyDescent="0.3">
      <c r="A24" s="25" t="s">
        <v>81</v>
      </c>
      <c r="B24" s="46">
        <v>0.11</v>
      </c>
    </row>
    <row r="25" spans="1:2" x14ac:dyDescent="0.3">
      <c r="A25" s="12"/>
      <c r="B25" s="5"/>
    </row>
    <row r="27" spans="1:2" x14ac:dyDescent="0.3">
      <c r="A27" s="59" t="s">
        <v>50</v>
      </c>
      <c r="B27" s="29" t="s">
        <v>53</v>
      </c>
    </row>
    <row r="28" spans="1:2" x14ac:dyDescent="0.3">
      <c r="A28" s="20" t="s">
        <v>48</v>
      </c>
      <c r="B28" s="22">
        <v>0</v>
      </c>
    </row>
    <row r="29" spans="1:2" x14ac:dyDescent="0.3">
      <c r="A29" s="25" t="s">
        <v>49</v>
      </c>
      <c r="B29" s="27">
        <v>5500</v>
      </c>
    </row>
  </sheetData>
  <pageMargins left="0.7" right="0.7" top="0.75" bottom="0.75" header="0.3" footer="0.3"/>
  <drawing r:id="rId1"/>
  <tableParts count="5">
    <tablePart r:id="rId2"/>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8338-164B-4708-94F6-FEE8506531D6}">
  <dimension ref="A1:H21"/>
  <sheetViews>
    <sheetView workbookViewId="0">
      <selection activeCell="B4" sqref="B4"/>
    </sheetView>
  </sheetViews>
  <sheetFormatPr defaultRowHeight="14.4" x14ac:dyDescent="0.3"/>
  <cols>
    <col min="1" max="1" width="25.21875" customWidth="1"/>
    <col min="2" max="2" width="22.5546875" style="17" customWidth="1"/>
    <col min="6" max="6" width="21.21875" customWidth="1"/>
    <col min="7" max="7" width="18.77734375" customWidth="1"/>
    <col min="8" max="8" width="17.5546875" customWidth="1"/>
  </cols>
  <sheetData>
    <row r="1" spans="1:8" ht="18" x14ac:dyDescent="0.35">
      <c r="A1" s="1" t="s">
        <v>21</v>
      </c>
    </row>
    <row r="2" spans="1:8" ht="18" x14ac:dyDescent="0.35">
      <c r="A2" s="1"/>
    </row>
    <row r="3" spans="1:8" x14ac:dyDescent="0.3">
      <c r="A3" s="4" t="s">
        <v>16</v>
      </c>
      <c r="B3" s="42" t="s">
        <v>8</v>
      </c>
      <c r="F3" t="s">
        <v>17</v>
      </c>
      <c r="G3" t="s">
        <v>41</v>
      </c>
      <c r="H3" t="s">
        <v>38</v>
      </c>
    </row>
    <row r="4" spans="1:8" x14ac:dyDescent="0.3">
      <c r="A4" s="4" t="s">
        <v>36</v>
      </c>
      <c r="B4" s="42" t="s">
        <v>84</v>
      </c>
      <c r="F4" t="s">
        <v>19</v>
      </c>
      <c r="G4" s="11">
        <v>1</v>
      </c>
      <c r="H4">
        <f>StaffHours[[#This Row],[Number of Staff]]*8</f>
        <v>8</v>
      </c>
    </row>
    <row r="5" spans="1:8" x14ac:dyDescent="0.3">
      <c r="A5" s="4" t="s">
        <v>37</v>
      </c>
      <c r="B5" s="42" t="s">
        <v>73</v>
      </c>
      <c r="F5" t="s">
        <v>11</v>
      </c>
      <c r="G5" s="11">
        <v>0</v>
      </c>
      <c r="H5">
        <f>StaffHours[[#This Row],[Number of Staff]]*6</f>
        <v>0</v>
      </c>
    </row>
    <row r="6" spans="1:8" x14ac:dyDescent="0.3">
      <c r="A6" s="4" t="s">
        <v>33</v>
      </c>
      <c r="B6" s="15">
        <f>'Supporting Data'!E6</f>
        <v>731.51549999999997</v>
      </c>
      <c r="F6" t="s">
        <v>12</v>
      </c>
      <c r="G6" s="11">
        <v>0</v>
      </c>
      <c r="H6">
        <f>StaffHours[[#This Row],[Number of Staff]]*6</f>
        <v>0</v>
      </c>
    </row>
    <row r="7" spans="1:8" x14ac:dyDescent="0.3">
      <c r="A7" s="4" t="s">
        <v>27</v>
      </c>
      <c r="B7" s="15" cm="1">
        <f t="array" ref="B7">IF(
  B4="Min",
  INDEX(_xlfn._xlws.FILTER(MPLHTable[Low MPLH],(MPLHTable[Min Meals]&lt;=B6)*(MPLHTable[Max Meals]&gt;=B6)*(MPLHTable[System Type]=B5)),1),
  INDEX(_xlfn._xlws.FILTER(MPLHTable[High MPLH],(MPLHTable[Min Meals]&lt;=B6)*(MPLHTable[Max Meals]&gt;=B6)*(MPLHTable[System Type]=B5)),1)
)</f>
        <v>60</v>
      </c>
      <c r="F7" t="s">
        <v>39</v>
      </c>
      <c r="G7" s="11">
        <v>1</v>
      </c>
      <c r="H7">
        <f>StaffHours[[#This Row],[Number of Staff]]*3</f>
        <v>3</v>
      </c>
    </row>
    <row r="8" spans="1:8" ht="15" thickBot="1" x14ac:dyDescent="0.35">
      <c r="A8" s="14" t="s">
        <v>42</v>
      </c>
      <c r="B8" s="45">
        <f>B6/B7</f>
        <v>12.191924999999999</v>
      </c>
      <c r="F8" t="s">
        <v>40</v>
      </c>
      <c r="G8" s="11">
        <v>0</v>
      </c>
      <c r="H8">
        <f>StaffHours[[#This Row],[Number of Staff]]*4</f>
        <v>0</v>
      </c>
    </row>
    <row r="9" spans="1:8" ht="15" thickTop="1" x14ac:dyDescent="0.3">
      <c r="A9" s="13" t="s">
        <v>62</v>
      </c>
      <c r="B9" s="16" cm="1">
        <f t="array" ref="B9">_xlfn.LET(
    _xlpm.region, B3,
    _xlpm.mode, B4,
    _xlpm.pos, StaffHours[Position],
    _xlpm.totalHours,
        StaffHours[Number of Staff] * StaffHours[Hours Per Staff],
    _xlpm.getRate,
        _xlfn.LAMBDA(_xlpm.p,
            _xlfn.LET(
                _xlpm.min, _xlfn.XLOOKUP(1,(Rates4[Region]=_xlpm.region)*(Rates4[Position]=_xlpm.p),Rates4[Min],0),
                _xlpm.max, _xlfn.XLOOKUP(1,(Rates4[Region]=_xlpm.region)*(Rates4[Position]=_xlpm.p),Rates4[Max],0),
                _xlpm.avg, _xlfn.XLOOKUP(1,(Rates4[Region]=_xlpm.region)*(Rates4[Position]=_xlpm.p),Rates4[Average],0),
                _xlpm.benefit, _xlfn.XLOOKUP(1,(Rates4[Region]=_xlpm.region)*(Rates4[Position]=_xlpm.p),Rates4[Full Time Benefits],0),
                _xlfn.SWITCH(
                    _xlpm.mode,
                    "Min", _xlpm.min,
                    "Max", _xlpm.max,
                    "Average", _xlpm.avg,
                    "Full Time Benefits", _xlpm.benefit,
                    "Invalid Mode"
                )
            )
        ),
    _xlpm.rates, _xlfn.MAP(_xlpm.pos, _xlpm.getRate),
    SUMPRODUCT(_xlpm.totalHours, _xlpm.rates)
)</f>
        <v>306.45000000000005</v>
      </c>
      <c r="G9" s="11">
        <f>SUM(StaffHours[Number of Staff])</f>
        <v>2</v>
      </c>
      <c r="H9">
        <f>SUBTOTAL(109,StaffHours[Hours Per Staff])</f>
        <v>11</v>
      </c>
    </row>
    <row r="10" spans="1:8" x14ac:dyDescent="0.3">
      <c r="A10" s="12"/>
    </row>
    <row r="13" spans="1:8" x14ac:dyDescent="0.3">
      <c r="B13" s="18"/>
    </row>
    <row r="21" spans="2:6" x14ac:dyDescent="0.3">
      <c r="B21" s="18"/>
      <c r="F21" s="41"/>
    </row>
  </sheetData>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D3DFDC01-ECBB-4CE2-ADAB-1B2285493055}">
          <x14:formula1>
            <xm:f>'Reference Sheet'!$A$20:$A$29</xm:f>
          </x14:formula1>
          <xm:sqref>B3</xm:sqref>
        </x14:dataValidation>
        <x14:dataValidation type="list" allowBlank="1" showInputMessage="1" showErrorMessage="1" xr:uid="{C39FC831-2C61-44B4-9E32-6D20D62205A4}">
          <x14:formula1>
            <xm:f>'Reference Sheet'!$A$14:$A$18</xm:f>
          </x14:formula1>
          <xm:sqref>B4</xm:sqref>
        </x14:dataValidation>
        <x14:dataValidation type="list" allowBlank="1" showInputMessage="1" showErrorMessage="1" xr:uid="{0CCC7CF0-25E7-4C3E-B7DF-78ED4529B1AA}">
          <x14:formula1>
            <xm:f>'Reference Sheet'!$A$31:$A$35</xm:f>
          </x14:formula1>
          <xm:sqref>B5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56418-CDBB-455D-BA9C-45470E29AD2C}">
  <dimension ref="A1:B35"/>
  <sheetViews>
    <sheetView workbookViewId="0">
      <selection activeCell="B5" sqref="B5"/>
    </sheetView>
  </sheetViews>
  <sheetFormatPr defaultRowHeight="14.4" x14ac:dyDescent="0.3"/>
  <cols>
    <col min="1" max="1" width="40.21875" customWidth="1"/>
    <col min="2" max="2" width="22" style="17" customWidth="1"/>
  </cols>
  <sheetData>
    <row r="1" spans="1:2" ht="18" x14ac:dyDescent="0.35">
      <c r="A1" s="1" t="s">
        <v>51</v>
      </c>
    </row>
    <row r="2" spans="1:2" ht="18" x14ac:dyDescent="0.35">
      <c r="A2" s="1"/>
    </row>
    <row r="3" spans="1:2" x14ac:dyDescent="0.3">
      <c r="A3" s="54" t="s">
        <v>61</v>
      </c>
      <c r="B3" s="55"/>
    </row>
    <row r="4" spans="1:2" x14ac:dyDescent="0.3">
      <c r="A4" s="4" t="s">
        <v>15</v>
      </c>
      <c r="B4" s="42" t="s">
        <v>8</v>
      </c>
    </row>
    <row r="5" spans="1:2" x14ac:dyDescent="0.3">
      <c r="A5" s="4" t="s">
        <v>52</v>
      </c>
      <c r="B5" s="42" t="s">
        <v>59</v>
      </c>
    </row>
    <row r="6" spans="1:2" x14ac:dyDescent="0.3">
      <c r="A6" s="4" t="s">
        <v>78</v>
      </c>
      <c r="B6" s="42" t="s">
        <v>48</v>
      </c>
    </row>
    <row r="7" spans="1:2" x14ac:dyDescent="0.3">
      <c r="A7" s="4" t="s">
        <v>79</v>
      </c>
      <c r="B7" s="42">
        <v>160</v>
      </c>
    </row>
    <row r="8" spans="1:2" x14ac:dyDescent="0.3">
      <c r="A8" s="4" t="s">
        <v>110</v>
      </c>
      <c r="B8" s="42"/>
    </row>
    <row r="9" spans="1:2" x14ac:dyDescent="0.3">
      <c r="A9" s="12"/>
    </row>
    <row r="10" spans="1:2" x14ac:dyDescent="0.3">
      <c r="A10" s="56" t="s">
        <v>54</v>
      </c>
      <c r="B10" s="56"/>
    </row>
    <row r="11" spans="1:2" x14ac:dyDescent="0.3">
      <c r="A11" s="4" t="s">
        <v>55</v>
      </c>
      <c r="B11" s="38">
        <f>_xlfn.XLOOKUP(B5,MealCostTable[Meal Cost],MealCostTable[Breakfast])</f>
        <v>2.37</v>
      </c>
    </row>
    <row r="12" spans="1:2" x14ac:dyDescent="0.3">
      <c r="A12" s="4" t="s">
        <v>56</v>
      </c>
      <c r="B12" s="39">
        <f>_xlfn.XLOOKUP(B5,MealCostTable[Meal Cost],MealCostTable[Lunch])</f>
        <v>4.78</v>
      </c>
    </row>
    <row r="13" spans="1:2" x14ac:dyDescent="0.3">
      <c r="A13" s="4" t="s">
        <v>82</v>
      </c>
      <c r="B13" s="39">
        <f>_xlfn.XLOOKUP(B5,MealCostTable[Meal Cost],MealCostTable[Snack])</f>
        <v>1.1499999999999999</v>
      </c>
    </row>
    <row r="14" spans="1:2" x14ac:dyDescent="0.3">
      <c r="A14" s="4" t="s">
        <v>63</v>
      </c>
      <c r="B14" s="39">
        <f>(('Supporting Data'!B6)*B11)</f>
        <v>1006.4204999999999</v>
      </c>
    </row>
    <row r="15" spans="1:2" x14ac:dyDescent="0.3">
      <c r="A15" s="4" t="s">
        <v>64</v>
      </c>
      <c r="B15" s="39">
        <f>(('Supporting Data'!C6)*B12)</f>
        <v>2136.6600000000003</v>
      </c>
    </row>
    <row r="16" spans="1:2" x14ac:dyDescent="0.3">
      <c r="A16" s="4" t="s">
        <v>83</v>
      </c>
      <c r="B16" s="39">
        <f>'Supporting Data'!D6*B8</f>
        <v>0</v>
      </c>
    </row>
    <row r="17" spans="1:2" x14ac:dyDescent="0.3">
      <c r="A17" s="4" t="s">
        <v>60</v>
      </c>
      <c r="B17" s="39">
        <f>_xlfn.XLOOKUP(B6,CSI[Overhead Fee for SY 26-27],CSI[Cost])</f>
        <v>0</v>
      </c>
    </row>
    <row r="19" spans="1:2" x14ac:dyDescent="0.3">
      <c r="A19" s="56" t="s">
        <v>21</v>
      </c>
      <c r="B19" s="56"/>
    </row>
    <row r="20" spans="1:2" x14ac:dyDescent="0.3">
      <c r="A20" s="4" t="s">
        <v>68</v>
      </c>
      <c r="B20" s="40">
        <f>'Labor Cost'!B9</f>
        <v>306.45000000000005</v>
      </c>
    </row>
    <row r="22" spans="1:2" x14ac:dyDescent="0.3">
      <c r="A22" s="54" t="s">
        <v>67</v>
      </c>
      <c r="B22" s="55"/>
    </row>
    <row r="23" spans="1:2" x14ac:dyDescent="0.3">
      <c r="A23" s="4" t="s">
        <v>3</v>
      </c>
      <c r="B23" s="39">
        <f>('Supporting Data'!B6*'Supporting Data'!B22)</f>
        <v>76.436999999999998</v>
      </c>
    </row>
    <row r="24" spans="1:2" x14ac:dyDescent="0.3">
      <c r="A24" s="4" t="s">
        <v>65</v>
      </c>
      <c r="B24" s="39">
        <f>'Supporting Data'!C6*'Supporting Data'!B23</f>
        <v>116.22</v>
      </c>
    </row>
    <row r="25" spans="1:2" x14ac:dyDescent="0.3">
      <c r="A25" s="4" t="s">
        <v>81</v>
      </c>
      <c r="B25" s="39">
        <f>'Supporting Data'!D6*'Supporting Data'!B24</f>
        <v>0</v>
      </c>
    </row>
    <row r="27" spans="1:2" x14ac:dyDescent="0.3">
      <c r="A27" s="54" t="s">
        <v>66</v>
      </c>
      <c r="B27" s="55"/>
    </row>
    <row r="28" spans="1:2" x14ac:dyDescent="0.3">
      <c r="A28" s="4" t="s">
        <v>3</v>
      </c>
      <c r="B28" s="40">
        <f>'Supporting Data'!B6*'Supporting Data'!B15</f>
        <v>1078.6109999999999</v>
      </c>
    </row>
    <row r="29" spans="1:2" x14ac:dyDescent="0.3">
      <c r="A29" s="4" t="s">
        <v>65</v>
      </c>
      <c r="B29" s="40">
        <f>'Supporting Data'!C6*'Supporting Data'!B16</f>
        <v>2167.9499999999998</v>
      </c>
    </row>
    <row r="30" spans="1:2" x14ac:dyDescent="0.3">
      <c r="A30" s="4" t="s">
        <v>45</v>
      </c>
      <c r="B30" s="40">
        <f>'Supporting Data'!C6*'Supporting Data'!B18</f>
        <v>210.08999999999997</v>
      </c>
    </row>
    <row r="31" spans="1:2" x14ac:dyDescent="0.3">
      <c r="A31" s="4" t="s">
        <v>81</v>
      </c>
      <c r="B31" s="40">
        <f>'Supporting Data'!D6*'Supporting Data'!B17</f>
        <v>0</v>
      </c>
    </row>
    <row r="33" spans="1:2" x14ac:dyDescent="0.3">
      <c r="A33" s="54" t="s">
        <v>80</v>
      </c>
      <c r="B33" s="55"/>
    </row>
    <row r="34" spans="1:2" x14ac:dyDescent="0.3">
      <c r="A34" s="4" t="s">
        <v>69</v>
      </c>
      <c r="B34" s="39">
        <f>(((B14+B15+B20+B23+B24)*B7)+B17)-((B28+B29+B30)*B7)</f>
        <v>29685.839999999967</v>
      </c>
    </row>
    <row r="35" spans="1:2" x14ac:dyDescent="0.3">
      <c r="A35" s="4" t="s">
        <v>70</v>
      </c>
      <c r="B35" s="39">
        <f>(((B14+B15+B20+B23+B24))+(B17/160))-((B28+B29+B30))</f>
        <v>185.53649999999971</v>
      </c>
    </row>
  </sheetData>
  <mergeCells count="6">
    <mergeCell ref="A33:B33"/>
    <mergeCell ref="A10:B10"/>
    <mergeCell ref="A3:B3"/>
    <mergeCell ref="A19:B19"/>
    <mergeCell ref="A22:B22"/>
    <mergeCell ref="A27:B27"/>
  </mergeCells>
  <conditionalFormatting sqref="B34:B35">
    <cfRule type="cellIs" dxfId="3" priority="1" operator="lessThan">
      <formula>0</formula>
    </cfRule>
    <cfRule type="cellIs" dxfId="2" priority="2" operator="greaterThan">
      <formula>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F3E79485-A321-4D33-8FDD-6E6692C006AD}">
          <x14:formula1>
            <xm:f>'Reference Sheet'!$A$20:$A$29</xm:f>
          </x14:formula1>
          <xm:sqref>B4</xm:sqref>
        </x14:dataValidation>
        <x14:dataValidation type="list" allowBlank="1" showInputMessage="1" showErrorMessage="1" xr:uid="{065C41A2-5AA5-413D-A43A-962CCAA3A2A7}">
          <x14:formula1>
            <xm:f>'Reference Sheet'!$A$39:$A$41</xm:f>
          </x14:formula1>
          <xm:sqref>B6</xm:sqref>
        </x14:dataValidation>
        <x14:dataValidation type="list" allowBlank="1" showInputMessage="1" showErrorMessage="1" xr:uid="{FC9FBB24-2F26-48F7-9981-29137647C12C}">
          <x14:formula1>
            <xm:f>'Reference Sheet'!$A$36:$A$38</xm:f>
          </x14:formula1>
          <xm:sqref>B5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435D1-5FFE-4438-9A59-0EFA15E36FBE}">
  <dimension ref="A1:B35"/>
  <sheetViews>
    <sheetView workbookViewId="0">
      <selection activeCell="B25" sqref="B25"/>
    </sheetView>
  </sheetViews>
  <sheetFormatPr defaultRowHeight="14.4" x14ac:dyDescent="0.3"/>
  <cols>
    <col min="1" max="1" width="40.21875" customWidth="1"/>
    <col min="2" max="2" width="22" style="17" customWidth="1"/>
  </cols>
  <sheetData>
    <row r="1" spans="1:2" ht="18" x14ac:dyDescent="0.35">
      <c r="A1" s="1" t="s">
        <v>77</v>
      </c>
    </row>
    <row r="2" spans="1:2" ht="18" x14ac:dyDescent="0.35">
      <c r="A2" s="1"/>
    </row>
    <row r="3" spans="1:2" x14ac:dyDescent="0.3">
      <c r="A3" s="54" t="s">
        <v>61</v>
      </c>
      <c r="B3" s="55"/>
    </row>
    <row r="4" spans="1:2" x14ac:dyDescent="0.3">
      <c r="A4" s="4" t="s">
        <v>15</v>
      </c>
      <c r="B4" s="42" t="s">
        <v>8</v>
      </c>
    </row>
    <row r="5" spans="1:2" x14ac:dyDescent="0.3">
      <c r="A5" s="4" t="s">
        <v>52</v>
      </c>
      <c r="B5" s="42" t="s">
        <v>59</v>
      </c>
    </row>
    <row r="6" spans="1:2" x14ac:dyDescent="0.3">
      <c r="A6" s="4" t="s">
        <v>78</v>
      </c>
      <c r="B6" s="42" t="s">
        <v>48</v>
      </c>
    </row>
    <row r="7" spans="1:2" x14ac:dyDescent="0.3">
      <c r="A7" s="4" t="s">
        <v>79</v>
      </c>
      <c r="B7" s="42">
        <v>160</v>
      </c>
    </row>
    <row r="8" spans="1:2" x14ac:dyDescent="0.3">
      <c r="A8" s="4" t="s">
        <v>111</v>
      </c>
      <c r="B8" s="42"/>
    </row>
    <row r="9" spans="1:2" x14ac:dyDescent="0.3">
      <c r="A9" s="12"/>
    </row>
    <row r="10" spans="1:2" x14ac:dyDescent="0.3">
      <c r="A10" s="56" t="s">
        <v>54</v>
      </c>
      <c r="B10" s="56"/>
    </row>
    <row r="11" spans="1:2" x14ac:dyDescent="0.3">
      <c r="A11" s="4" t="s">
        <v>75</v>
      </c>
      <c r="B11" s="43">
        <v>2.46</v>
      </c>
    </row>
    <row r="12" spans="1:2" x14ac:dyDescent="0.3">
      <c r="A12" s="4" t="s">
        <v>76</v>
      </c>
      <c r="B12" s="44">
        <v>4.76</v>
      </c>
    </row>
    <row r="13" spans="1:2" x14ac:dyDescent="0.3">
      <c r="A13" s="4" t="s">
        <v>82</v>
      </c>
      <c r="B13" s="44"/>
    </row>
    <row r="14" spans="1:2" x14ac:dyDescent="0.3">
      <c r="A14" s="4" t="s">
        <v>63</v>
      </c>
      <c r="B14" s="39">
        <f>(('Supporting Data'!B6)*B11)</f>
        <v>1044.6389999999999</v>
      </c>
    </row>
    <row r="15" spans="1:2" x14ac:dyDescent="0.3">
      <c r="A15" s="4" t="s">
        <v>64</v>
      </c>
      <c r="B15" s="39">
        <f>(('Supporting Data'!C6)*B12)</f>
        <v>2127.7199999999998</v>
      </c>
    </row>
    <row r="16" spans="1:2" x14ac:dyDescent="0.3">
      <c r="A16" s="4" t="s">
        <v>83</v>
      </c>
      <c r="B16" s="39">
        <f>B13*B8</f>
        <v>0</v>
      </c>
    </row>
    <row r="17" spans="1:2" x14ac:dyDescent="0.3">
      <c r="A17" s="4" t="s">
        <v>60</v>
      </c>
      <c r="B17" s="39">
        <f>_xlfn.XLOOKUP(B6,CSI[Overhead Fee for SY 26-27],CSI[Cost])</f>
        <v>0</v>
      </c>
    </row>
    <row r="19" spans="1:2" x14ac:dyDescent="0.3">
      <c r="A19" s="56" t="s">
        <v>21</v>
      </c>
      <c r="B19" s="56"/>
    </row>
    <row r="20" spans="1:2" x14ac:dyDescent="0.3">
      <c r="A20" s="4" t="s">
        <v>68</v>
      </c>
      <c r="B20" s="40">
        <f>'Labor Cost'!B9</f>
        <v>306.45000000000005</v>
      </c>
    </row>
    <row r="22" spans="1:2" x14ac:dyDescent="0.3">
      <c r="A22" s="54" t="s">
        <v>67</v>
      </c>
      <c r="B22" s="55"/>
    </row>
    <row r="23" spans="1:2" x14ac:dyDescent="0.3">
      <c r="A23" s="4" t="s">
        <v>3</v>
      </c>
      <c r="B23" s="39">
        <f>('Supporting Data'!B6*'Supporting Data'!B22)</f>
        <v>76.436999999999998</v>
      </c>
    </row>
    <row r="24" spans="1:2" x14ac:dyDescent="0.3">
      <c r="A24" s="4" t="s">
        <v>65</v>
      </c>
      <c r="B24" s="39">
        <f>'Supporting Data'!C6*'Supporting Data'!B23</f>
        <v>116.22</v>
      </c>
    </row>
    <row r="25" spans="1:2" x14ac:dyDescent="0.3">
      <c r="A25" s="4" t="s">
        <v>81</v>
      </c>
      <c r="B25" s="39" t="e">
        <f>'Supporting Data'!D6*Table11[[#This Row],[Cost]]</f>
        <v>#VALUE!</v>
      </c>
    </row>
    <row r="27" spans="1:2" x14ac:dyDescent="0.3">
      <c r="A27" s="54" t="s">
        <v>66</v>
      </c>
      <c r="B27" s="55"/>
    </row>
    <row r="28" spans="1:2" x14ac:dyDescent="0.3">
      <c r="A28" s="4" t="s">
        <v>3</v>
      </c>
      <c r="B28" s="40">
        <f>'Supporting Data'!B6*'Supporting Data'!B15</f>
        <v>1078.6109999999999</v>
      </c>
    </row>
    <row r="29" spans="1:2" x14ac:dyDescent="0.3">
      <c r="A29" s="4" t="s">
        <v>65</v>
      </c>
      <c r="B29" s="40">
        <f>'Supporting Data'!C6*'Supporting Data'!B16</f>
        <v>2167.9499999999998</v>
      </c>
    </row>
    <row r="30" spans="1:2" x14ac:dyDescent="0.3">
      <c r="A30" s="4" t="s">
        <v>45</v>
      </c>
      <c r="B30" s="40">
        <f>'Supporting Data'!C6*'Supporting Data'!B18</f>
        <v>210.08999999999997</v>
      </c>
    </row>
    <row r="31" spans="1:2" x14ac:dyDescent="0.3">
      <c r="A31" s="4" t="s">
        <v>81</v>
      </c>
      <c r="B31" s="40">
        <f>'Supporting Data'!D6*'Supporting Data'!B17</f>
        <v>0</v>
      </c>
    </row>
    <row r="33" spans="1:2" x14ac:dyDescent="0.3">
      <c r="A33" s="54" t="s">
        <v>80</v>
      </c>
      <c r="B33" s="55"/>
    </row>
    <row r="34" spans="1:2" x14ac:dyDescent="0.3">
      <c r="A34" s="4" t="s">
        <v>69</v>
      </c>
      <c r="B34" s="39">
        <f>(((B14+B15+B20+B23+B24)*160)+B17)-((B28+B29+B30)*B7)</f>
        <v>34370.399999999907</v>
      </c>
    </row>
    <row r="35" spans="1:2" x14ac:dyDescent="0.3">
      <c r="A35" s="4" t="s">
        <v>70</v>
      </c>
      <c r="B35" s="39">
        <f>(((B14+B15+B20+B23+B24))+(B17/B7))-((B28+B29+B30))</f>
        <v>214.81499999999915</v>
      </c>
    </row>
  </sheetData>
  <mergeCells count="6">
    <mergeCell ref="A33:B33"/>
    <mergeCell ref="A3:B3"/>
    <mergeCell ref="A10:B10"/>
    <mergeCell ref="A19:B19"/>
    <mergeCell ref="A22:B22"/>
    <mergeCell ref="A27:B27"/>
  </mergeCells>
  <conditionalFormatting sqref="B34:B35">
    <cfRule type="cellIs" dxfId="1" priority="1" operator="lessThan">
      <formula>0</formula>
    </cfRule>
    <cfRule type="cellIs" dxfId="0" priority="2" operator="greaterThan">
      <formula>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9B5E42A6-704E-47BE-8742-E0162A4AF195}">
          <x14:formula1>
            <xm:f>'Reference Sheet'!$A$36:$A$38</xm:f>
          </x14:formula1>
          <xm:sqref>B5</xm:sqref>
        </x14:dataValidation>
        <x14:dataValidation type="list" allowBlank="1" showInputMessage="1" showErrorMessage="1" xr:uid="{E35ECB67-2BA3-4049-8E0E-223312DA9CA7}">
          <x14:formula1>
            <xm:f>'Reference Sheet'!$A$39:$A$41</xm:f>
          </x14:formula1>
          <xm:sqref>B6</xm:sqref>
        </x14:dataValidation>
        <x14:dataValidation type="list" allowBlank="1" showInputMessage="1" showErrorMessage="1" xr:uid="{53BF39C4-CF46-4F64-B032-FEF00855521D}">
          <x14:formula1>
            <xm:f>'Reference Sheet'!$A$35:$A$37</xm:f>
          </x14:formula1>
          <xm:sqref>B9</xm:sqref>
        </x14:dataValidation>
        <x14:dataValidation type="list" allowBlank="1" showInputMessage="1" showErrorMessage="1" xr:uid="{94EFA082-0E4E-4B55-8219-1213E6524420}">
          <x14:formula1>
            <xm:f>'Reference Sheet'!$A$20:$A$29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2ACA5-C4C3-4849-8C82-DF193D7E4FCA}">
  <dimension ref="A1:M47"/>
  <sheetViews>
    <sheetView topLeftCell="B1" zoomScale="87" zoomScaleNormal="87" workbookViewId="0">
      <selection activeCell="T9" sqref="T9"/>
    </sheetView>
  </sheetViews>
  <sheetFormatPr defaultRowHeight="14.4" x14ac:dyDescent="0.3"/>
  <cols>
    <col min="1" max="1" width="17.5546875" hidden="1" customWidth="1"/>
    <col min="2" max="2" width="28.77734375" customWidth="1"/>
    <col min="3" max="3" width="20.5546875" customWidth="1"/>
    <col min="4" max="4" width="13.21875" customWidth="1"/>
    <col min="5" max="5" width="14.44140625" customWidth="1"/>
    <col min="7" max="7" width="16.77734375" customWidth="1"/>
    <col min="9" max="9" width="11.44140625" customWidth="1"/>
    <col min="10" max="10" width="11.77734375" customWidth="1"/>
    <col min="11" max="11" width="13.44140625" customWidth="1"/>
    <col min="12" max="12" width="11.21875" customWidth="1"/>
    <col min="13" max="13" width="10.21875" customWidth="1"/>
  </cols>
  <sheetData>
    <row r="1" spans="1:13" ht="18" x14ac:dyDescent="0.35">
      <c r="B1" s="53" t="s">
        <v>71</v>
      </c>
      <c r="C1" s="53"/>
      <c r="D1" s="53"/>
      <c r="E1" s="53"/>
      <c r="F1" s="53"/>
      <c r="G1" s="53"/>
      <c r="I1" s="53" t="s">
        <v>72</v>
      </c>
      <c r="J1" s="53"/>
      <c r="K1" s="53"/>
      <c r="L1" s="53"/>
      <c r="M1" s="53"/>
    </row>
    <row r="2" spans="1:13" x14ac:dyDescent="0.3">
      <c r="B2" t="s">
        <v>16</v>
      </c>
      <c r="C2" t="s">
        <v>17</v>
      </c>
      <c r="D2" t="s">
        <v>6</v>
      </c>
      <c r="E2" t="s">
        <v>7</v>
      </c>
      <c r="F2" t="s">
        <v>20</v>
      </c>
      <c r="G2" t="s">
        <v>84</v>
      </c>
      <c r="I2" t="s">
        <v>22</v>
      </c>
      <c r="J2" t="s">
        <v>23</v>
      </c>
      <c r="K2" t="s">
        <v>24</v>
      </c>
      <c r="L2" t="s">
        <v>34</v>
      </c>
      <c r="M2" t="s">
        <v>35</v>
      </c>
    </row>
    <row r="3" spans="1:13" x14ac:dyDescent="0.3">
      <c r="A3" s="6"/>
      <c r="B3" t="s">
        <v>29</v>
      </c>
      <c r="C3" t="s">
        <v>11</v>
      </c>
      <c r="D3">
        <v>15.54</v>
      </c>
      <c r="E3">
        <v>18.57</v>
      </c>
      <c r="F3" s="5">
        <v>17.055</v>
      </c>
      <c r="G3" s="5">
        <f>Rates4[[#This Row],[Average]]*1.3</f>
        <v>22.171500000000002</v>
      </c>
      <c r="I3">
        <v>0</v>
      </c>
      <c r="J3">
        <v>100</v>
      </c>
      <c r="K3" t="s">
        <v>25</v>
      </c>
      <c r="L3">
        <v>8</v>
      </c>
      <c r="M3">
        <v>10</v>
      </c>
    </row>
    <row r="4" spans="1:13" x14ac:dyDescent="0.3">
      <c r="A4" s="6"/>
      <c r="B4" t="s">
        <v>28</v>
      </c>
      <c r="C4" t="s">
        <v>11</v>
      </c>
      <c r="D4" t="s">
        <v>18</v>
      </c>
      <c r="E4" t="s">
        <v>18</v>
      </c>
      <c r="F4" s="5" t="s">
        <v>18</v>
      </c>
      <c r="G4" s="5" t="s">
        <v>18</v>
      </c>
      <c r="I4">
        <v>0</v>
      </c>
      <c r="J4">
        <v>100</v>
      </c>
      <c r="K4" t="s">
        <v>26</v>
      </c>
      <c r="L4">
        <v>10</v>
      </c>
      <c r="M4">
        <v>12</v>
      </c>
    </row>
    <row r="5" spans="1:13" x14ac:dyDescent="0.3">
      <c r="B5" t="s">
        <v>8</v>
      </c>
      <c r="C5" t="s">
        <v>11</v>
      </c>
      <c r="D5">
        <v>18.48</v>
      </c>
      <c r="E5">
        <v>25.66</v>
      </c>
      <c r="F5" s="5">
        <v>22.07</v>
      </c>
      <c r="G5" s="5">
        <f>Rates4[[#This Row],[Average]]*1.3</f>
        <v>28.691000000000003</v>
      </c>
      <c r="I5">
        <v>101</v>
      </c>
      <c r="J5">
        <v>150</v>
      </c>
      <c r="K5" t="s">
        <v>25</v>
      </c>
      <c r="L5">
        <v>9</v>
      </c>
      <c r="M5">
        <v>11</v>
      </c>
    </row>
    <row r="6" spans="1:13" x14ac:dyDescent="0.3">
      <c r="B6" t="s">
        <v>30</v>
      </c>
      <c r="C6" t="s">
        <v>11</v>
      </c>
      <c r="D6">
        <v>17.77</v>
      </c>
      <c r="E6">
        <v>19.899999999999999</v>
      </c>
      <c r="F6" s="5">
        <v>18.84</v>
      </c>
      <c r="G6" s="5">
        <f>Rates4[[#This Row],[Average]]*1.3</f>
        <v>24.492000000000001</v>
      </c>
      <c r="I6">
        <v>101</v>
      </c>
      <c r="J6">
        <v>150</v>
      </c>
      <c r="K6" t="s">
        <v>26</v>
      </c>
      <c r="L6">
        <v>11</v>
      </c>
      <c r="M6">
        <v>13</v>
      </c>
    </row>
    <row r="7" spans="1:13" x14ac:dyDescent="0.3">
      <c r="B7" t="s">
        <v>31</v>
      </c>
      <c r="C7" t="s">
        <v>11</v>
      </c>
      <c r="D7">
        <v>17.57</v>
      </c>
      <c r="E7">
        <v>19.97</v>
      </c>
      <c r="F7" s="5">
        <v>18.77</v>
      </c>
      <c r="G7" s="5">
        <f>Rates4[[#This Row],[Average]]*1.3</f>
        <v>24.401</v>
      </c>
      <c r="I7">
        <v>151</v>
      </c>
      <c r="J7">
        <v>200</v>
      </c>
      <c r="K7" t="s">
        <v>25</v>
      </c>
      <c r="L7">
        <v>10.5</v>
      </c>
      <c r="M7">
        <v>12</v>
      </c>
    </row>
    <row r="8" spans="1:13" x14ac:dyDescent="0.3">
      <c r="A8" t="s">
        <v>58</v>
      </c>
      <c r="B8" t="s">
        <v>9</v>
      </c>
      <c r="C8" t="s">
        <v>11</v>
      </c>
      <c r="D8" t="s">
        <v>18</v>
      </c>
      <c r="E8" t="s">
        <v>18</v>
      </c>
      <c r="F8" s="5" t="s">
        <v>18</v>
      </c>
      <c r="G8" s="5" t="s">
        <v>18</v>
      </c>
      <c r="I8">
        <v>151</v>
      </c>
      <c r="J8">
        <v>200</v>
      </c>
      <c r="K8" t="s">
        <v>26</v>
      </c>
      <c r="L8">
        <v>12</v>
      </c>
      <c r="M8">
        <v>14</v>
      </c>
    </row>
    <row r="9" spans="1:13" x14ac:dyDescent="0.3">
      <c r="A9" t="s">
        <v>39</v>
      </c>
      <c r="B9" t="s">
        <v>5</v>
      </c>
      <c r="C9" t="s">
        <v>11</v>
      </c>
      <c r="D9">
        <v>20</v>
      </c>
      <c r="E9" t="s">
        <v>18</v>
      </c>
      <c r="F9" s="5">
        <v>20</v>
      </c>
      <c r="G9" s="5">
        <f>Rates4[[#This Row],[Average]]*1.3</f>
        <v>26</v>
      </c>
      <c r="I9">
        <v>201</v>
      </c>
      <c r="J9">
        <v>250</v>
      </c>
      <c r="K9" t="s">
        <v>25</v>
      </c>
      <c r="L9">
        <v>12</v>
      </c>
      <c r="M9">
        <v>14</v>
      </c>
    </row>
    <row r="10" spans="1:13" x14ac:dyDescent="0.3">
      <c r="A10" t="s">
        <v>40</v>
      </c>
      <c r="B10" t="s">
        <v>32</v>
      </c>
      <c r="C10" t="s">
        <v>11</v>
      </c>
      <c r="D10">
        <v>19.82</v>
      </c>
      <c r="E10">
        <v>28.52</v>
      </c>
      <c r="F10" s="5">
        <v>24.17</v>
      </c>
      <c r="G10" s="5">
        <f>Rates4[[#This Row],[Average]]*1.3</f>
        <v>31.421000000000003</v>
      </c>
      <c r="I10">
        <v>201</v>
      </c>
      <c r="J10">
        <v>250</v>
      </c>
      <c r="K10" t="s">
        <v>26</v>
      </c>
      <c r="L10">
        <v>14</v>
      </c>
      <c r="M10">
        <v>15</v>
      </c>
    </row>
    <row r="11" spans="1:13" x14ac:dyDescent="0.3">
      <c r="A11" t="s">
        <v>19</v>
      </c>
      <c r="B11" t="s">
        <v>10</v>
      </c>
      <c r="C11" t="s">
        <v>11</v>
      </c>
      <c r="D11">
        <v>14.87</v>
      </c>
      <c r="E11">
        <v>23.79</v>
      </c>
      <c r="F11" s="5">
        <v>19.329999999999998</v>
      </c>
      <c r="G11" s="5">
        <f>Rates4[[#This Row],[Average]]*1.3</f>
        <v>25.128999999999998</v>
      </c>
      <c r="I11">
        <v>251</v>
      </c>
      <c r="J11">
        <v>300</v>
      </c>
      <c r="K11" t="s">
        <v>25</v>
      </c>
      <c r="L11">
        <v>13</v>
      </c>
      <c r="M11">
        <v>15</v>
      </c>
    </row>
    <row r="12" spans="1:13" x14ac:dyDescent="0.3">
      <c r="A12" t="s">
        <v>12</v>
      </c>
      <c r="B12" t="s">
        <v>29</v>
      </c>
      <c r="C12" t="s">
        <v>12</v>
      </c>
      <c r="D12" t="s">
        <v>18</v>
      </c>
      <c r="E12" t="s">
        <v>18</v>
      </c>
      <c r="F12" s="5" t="s">
        <v>18</v>
      </c>
      <c r="G12" s="5" t="s">
        <v>18</v>
      </c>
      <c r="I12">
        <v>251</v>
      </c>
      <c r="J12">
        <v>300</v>
      </c>
      <c r="K12" t="s">
        <v>26</v>
      </c>
      <c r="L12">
        <v>15</v>
      </c>
      <c r="M12">
        <v>16</v>
      </c>
    </row>
    <row r="13" spans="1:13" x14ac:dyDescent="0.3">
      <c r="A13" t="s">
        <v>11</v>
      </c>
      <c r="B13" t="s">
        <v>28</v>
      </c>
      <c r="C13" t="s">
        <v>12</v>
      </c>
      <c r="D13">
        <v>16</v>
      </c>
      <c r="E13">
        <v>24.55</v>
      </c>
      <c r="F13" s="5">
        <v>20.28</v>
      </c>
      <c r="G13" s="5">
        <f>Rates4[[#This Row],[Average]]*1.3</f>
        <v>26.364000000000001</v>
      </c>
      <c r="I13">
        <v>301</v>
      </c>
      <c r="J13">
        <v>400</v>
      </c>
      <c r="K13" t="s">
        <v>25</v>
      </c>
      <c r="L13">
        <v>14</v>
      </c>
      <c r="M13">
        <v>16</v>
      </c>
    </row>
    <row r="14" spans="1:13" x14ac:dyDescent="0.3">
      <c r="A14" t="s">
        <v>58</v>
      </c>
      <c r="B14" t="s">
        <v>8</v>
      </c>
      <c r="C14" t="s">
        <v>12</v>
      </c>
      <c r="D14">
        <v>17.86</v>
      </c>
      <c r="E14">
        <v>22.02</v>
      </c>
      <c r="F14" s="5">
        <v>19.940000000000001</v>
      </c>
      <c r="G14" s="5">
        <f>Rates4[[#This Row],[Average]]*1.3</f>
        <v>25.922000000000004</v>
      </c>
      <c r="I14">
        <v>301</v>
      </c>
      <c r="J14">
        <v>400</v>
      </c>
      <c r="K14" t="s">
        <v>26</v>
      </c>
      <c r="L14">
        <v>16</v>
      </c>
      <c r="M14">
        <v>18</v>
      </c>
    </row>
    <row r="15" spans="1:13" x14ac:dyDescent="0.3">
      <c r="A15" t="s">
        <v>6</v>
      </c>
      <c r="B15" t="s">
        <v>30</v>
      </c>
      <c r="C15" t="s">
        <v>12</v>
      </c>
      <c r="D15">
        <v>22.64</v>
      </c>
      <c r="E15">
        <v>25.36</v>
      </c>
      <c r="F15" s="5">
        <v>24</v>
      </c>
      <c r="G15" s="5">
        <f>Rates4[[#This Row],[Average]]*1.3</f>
        <v>31.200000000000003</v>
      </c>
      <c r="I15">
        <v>401</v>
      </c>
      <c r="J15">
        <v>500</v>
      </c>
      <c r="K15" t="s">
        <v>25</v>
      </c>
      <c r="L15">
        <v>14</v>
      </c>
      <c r="M15">
        <v>17</v>
      </c>
    </row>
    <row r="16" spans="1:13" x14ac:dyDescent="0.3">
      <c r="A16" t="s">
        <v>7</v>
      </c>
      <c r="B16" t="s">
        <v>31</v>
      </c>
      <c r="C16" t="s">
        <v>12</v>
      </c>
      <c r="D16" t="s">
        <v>18</v>
      </c>
      <c r="E16" t="s">
        <v>18</v>
      </c>
      <c r="F16" s="5" t="s">
        <v>18</v>
      </c>
      <c r="G16" s="5" t="s">
        <v>18</v>
      </c>
      <c r="I16">
        <v>401</v>
      </c>
      <c r="J16">
        <v>500</v>
      </c>
      <c r="K16" t="s">
        <v>26</v>
      </c>
      <c r="L16">
        <v>18</v>
      </c>
      <c r="M16">
        <v>19</v>
      </c>
    </row>
    <row r="17" spans="1:13" x14ac:dyDescent="0.3">
      <c r="A17" t="s">
        <v>20</v>
      </c>
      <c r="B17" t="s">
        <v>9</v>
      </c>
      <c r="C17" t="s">
        <v>12</v>
      </c>
      <c r="D17">
        <v>19.84</v>
      </c>
      <c r="E17">
        <v>20.36</v>
      </c>
      <c r="F17" s="5">
        <v>20.100000000000001</v>
      </c>
      <c r="G17" s="5">
        <f>Rates4[[#This Row],[Average]]*1.3</f>
        <v>26.130000000000003</v>
      </c>
      <c r="I17">
        <v>501</v>
      </c>
      <c r="J17">
        <v>600</v>
      </c>
      <c r="K17" t="s">
        <v>25</v>
      </c>
      <c r="L17">
        <v>15</v>
      </c>
      <c r="M17">
        <v>17</v>
      </c>
    </row>
    <row r="18" spans="1:13" x14ac:dyDescent="0.3">
      <c r="A18" t="s">
        <v>84</v>
      </c>
      <c r="B18" t="s">
        <v>5</v>
      </c>
      <c r="C18" t="s">
        <v>12</v>
      </c>
      <c r="D18" t="s">
        <v>18</v>
      </c>
      <c r="E18" t="s">
        <v>18</v>
      </c>
      <c r="F18" s="5" t="s">
        <v>18</v>
      </c>
      <c r="G18" s="5" t="s">
        <v>18</v>
      </c>
      <c r="I18">
        <v>501</v>
      </c>
      <c r="J18">
        <v>600</v>
      </c>
      <c r="K18" t="s">
        <v>26</v>
      </c>
      <c r="L18">
        <v>18</v>
      </c>
      <c r="M18">
        <v>19</v>
      </c>
    </row>
    <row r="19" spans="1:13" x14ac:dyDescent="0.3">
      <c r="B19" t="s">
        <v>32</v>
      </c>
      <c r="C19" t="s">
        <v>12</v>
      </c>
      <c r="D19">
        <v>26.2</v>
      </c>
      <c r="E19">
        <v>40.61</v>
      </c>
      <c r="F19" s="5">
        <v>33.409999999999997</v>
      </c>
      <c r="G19" s="5">
        <f>Rates4[[#This Row],[Average]]*1.3</f>
        <v>43.433</v>
      </c>
      <c r="I19">
        <v>601</v>
      </c>
      <c r="J19">
        <v>700</v>
      </c>
      <c r="K19" t="s">
        <v>25</v>
      </c>
      <c r="L19">
        <v>16</v>
      </c>
      <c r="M19">
        <v>18</v>
      </c>
    </row>
    <row r="20" spans="1:13" x14ac:dyDescent="0.3">
      <c r="A20" t="s">
        <v>57</v>
      </c>
      <c r="B20" t="s">
        <v>10</v>
      </c>
      <c r="C20" t="s">
        <v>12</v>
      </c>
      <c r="D20">
        <v>18.3</v>
      </c>
      <c r="E20">
        <v>21.93</v>
      </c>
      <c r="F20" s="5">
        <v>20.12</v>
      </c>
      <c r="G20" s="5">
        <f>Rates4[[#This Row],[Average]]*1.3</f>
        <v>26.156000000000002</v>
      </c>
      <c r="I20">
        <v>601</v>
      </c>
      <c r="J20">
        <v>700</v>
      </c>
      <c r="K20" t="s">
        <v>26</v>
      </c>
      <c r="L20">
        <v>19</v>
      </c>
      <c r="M20">
        <v>20</v>
      </c>
    </row>
    <row r="21" spans="1:13" x14ac:dyDescent="0.3">
      <c r="A21" s="7" t="s">
        <v>29</v>
      </c>
      <c r="B21" t="s">
        <v>29</v>
      </c>
      <c r="C21" t="s">
        <v>19</v>
      </c>
      <c r="D21">
        <v>18.47</v>
      </c>
      <c r="E21">
        <v>22.07</v>
      </c>
      <c r="F21" s="5">
        <v>20.27</v>
      </c>
      <c r="G21" s="5">
        <f>Rates4[[#This Row],[Average]]*1.3</f>
        <v>26.350999999999999</v>
      </c>
      <c r="I21">
        <v>701</v>
      </c>
      <c r="J21">
        <v>800</v>
      </c>
      <c r="K21" t="s">
        <v>25</v>
      </c>
      <c r="L21">
        <v>17</v>
      </c>
      <c r="M21">
        <v>19</v>
      </c>
    </row>
    <row r="22" spans="1:13" x14ac:dyDescent="0.3">
      <c r="A22" s="9" t="s">
        <v>28</v>
      </c>
      <c r="B22" t="s">
        <v>28</v>
      </c>
      <c r="C22" t="s">
        <v>19</v>
      </c>
      <c r="D22">
        <v>16.579999999999998</v>
      </c>
      <c r="E22">
        <v>25.13</v>
      </c>
      <c r="F22" s="5">
        <v>20.85</v>
      </c>
      <c r="G22" s="5">
        <f>Rates4[[#This Row],[Average]]*1.3</f>
        <v>27.105000000000004</v>
      </c>
      <c r="I22">
        <v>701</v>
      </c>
      <c r="J22">
        <v>800</v>
      </c>
      <c r="K22" t="s">
        <v>26</v>
      </c>
      <c r="L22">
        <v>20</v>
      </c>
      <c r="M22">
        <v>22</v>
      </c>
    </row>
    <row r="23" spans="1:13" x14ac:dyDescent="0.3">
      <c r="A23" s="7" t="s">
        <v>8</v>
      </c>
      <c r="B23" t="s">
        <v>8</v>
      </c>
      <c r="C23" t="s">
        <v>19</v>
      </c>
      <c r="D23">
        <v>20.69</v>
      </c>
      <c r="E23">
        <v>25.51</v>
      </c>
      <c r="F23" s="5">
        <v>23.1</v>
      </c>
      <c r="G23" s="5">
        <f>Rates4[[#This Row],[Average]]*1.3</f>
        <v>30.03</v>
      </c>
      <c r="I23">
        <v>801</v>
      </c>
      <c r="J23">
        <v>2000</v>
      </c>
      <c r="K23" t="s">
        <v>25</v>
      </c>
      <c r="L23">
        <v>18</v>
      </c>
      <c r="M23">
        <v>20</v>
      </c>
    </row>
    <row r="24" spans="1:13" x14ac:dyDescent="0.3">
      <c r="A24" s="9" t="s">
        <v>30</v>
      </c>
      <c r="B24" t="s">
        <v>30</v>
      </c>
      <c r="C24" t="s">
        <v>19</v>
      </c>
      <c r="D24">
        <v>24.49</v>
      </c>
      <c r="E24">
        <v>27.43</v>
      </c>
      <c r="F24" s="5">
        <v>25.96</v>
      </c>
      <c r="G24" s="5">
        <f>Rates4[[#This Row],[Average]]*1.3</f>
        <v>33.748000000000005</v>
      </c>
      <c r="I24">
        <v>801</v>
      </c>
      <c r="J24">
        <v>2000</v>
      </c>
      <c r="K24" t="s">
        <v>26</v>
      </c>
      <c r="L24">
        <v>21</v>
      </c>
      <c r="M24">
        <v>23</v>
      </c>
    </row>
    <row r="25" spans="1:13" x14ac:dyDescent="0.3">
      <c r="A25" s="7" t="s">
        <v>31</v>
      </c>
      <c r="B25" t="s">
        <v>31</v>
      </c>
      <c r="C25" t="s">
        <v>19</v>
      </c>
      <c r="D25">
        <v>22.25</v>
      </c>
      <c r="E25">
        <v>32.57</v>
      </c>
      <c r="F25" s="5">
        <v>27.41</v>
      </c>
      <c r="G25" s="5">
        <f>Rates4[[#This Row],[Average]]*1.3</f>
        <v>35.633000000000003</v>
      </c>
      <c r="I25">
        <v>0</v>
      </c>
      <c r="J25">
        <v>150</v>
      </c>
      <c r="K25" t="s">
        <v>73</v>
      </c>
      <c r="L25">
        <v>35</v>
      </c>
      <c r="M25">
        <v>40</v>
      </c>
    </row>
    <row r="26" spans="1:13" x14ac:dyDescent="0.3">
      <c r="A26" s="9" t="s">
        <v>9</v>
      </c>
      <c r="B26" t="s">
        <v>9</v>
      </c>
      <c r="C26" t="s">
        <v>19</v>
      </c>
      <c r="D26" t="s">
        <v>18</v>
      </c>
      <c r="E26" t="s">
        <v>18</v>
      </c>
      <c r="F26" s="5" t="s">
        <v>18</v>
      </c>
      <c r="G26" s="5" t="s">
        <v>18</v>
      </c>
      <c r="I26">
        <v>151</v>
      </c>
      <c r="J26">
        <v>300</v>
      </c>
      <c r="K26" t="s">
        <v>73</v>
      </c>
      <c r="L26">
        <v>40</v>
      </c>
      <c r="M26">
        <v>45</v>
      </c>
    </row>
    <row r="27" spans="1:13" x14ac:dyDescent="0.3">
      <c r="A27" s="7" t="s">
        <v>5</v>
      </c>
      <c r="B27" t="s">
        <v>5</v>
      </c>
      <c r="C27" t="s">
        <v>19</v>
      </c>
      <c r="D27">
        <v>23</v>
      </c>
      <c r="E27">
        <v>3</v>
      </c>
      <c r="F27" s="5">
        <v>23</v>
      </c>
      <c r="G27" s="5">
        <f>Rates4[[#This Row],[Average]]*1.3</f>
        <v>29.900000000000002</v>
      </c>
      <c r="I27">
        <v>301</v>
      </c>
      <c r="J27">
        <v>600</v>
      </c>
      <c r="K27" t="s">
        <v>73</v>
      </c>
      <c r="L27">
        <v>45</v>
      </c>
      <c r="M27">
        <v>55</v>
      </c>
    </row>
    <row r="28" spans="1:13" x14ac:dyDescent="0.3">
      <c r="A28" s="9" t="s">
        <v>32</v>
      </c>
      <c r="B28" t="s">
        <v>32</v>
      </c>
      <c r="C28" t="s">
        <v>19</v>
      </c>
      <c r="D28">
        <v>3</v>
      </c>
      <c r="E28">
        <v>3</v>
      </c>
      <c r="F28" s="5" t="s">
        <v>18</v>
      </c>
      <c r="G28" s="5" t="s">
        <v>85</v>
      </c>
      <c r="I28">
        <v>601</v>
      </c>
      <c r="J28">
        <v>1000</v>
      </c>
      <c r="K28" t="s">
        <v>73</v>
      </c>
      <c r="L28">
        <v>55</v>
      </c>
      <c r="M28">
        <v>60</v>
      </c>
    </row>
    <row r="29" spans="1:13" x14ac:dyDescent="0.3">
      <c r="A29" s="7" t="s">
        <v>10</v>
      </c>
      <c r="B29" t="s">
        <v>10</v>
      </c>
      <c r="C29" t="s">
        <v>19</v>
      </c>
      <c r="D29">
        <v>21.36</v>
      </c>
      <c r="E29">
        <v>34.18</v>
      </c>
      <c r="F29" s="5">
        <v>27.77</v>
      </c>
      <c r="G29" s="5">
        <f>Rates4[[#This Row],[Average]]*1.3</f>
        <v>36.100999999999999</v>
      </c>
      <c r="I29">
        <v>0</v>
      </c>
      <c r="J29">
        <v>150</v>
      </c>
      <c r="K29" t="s">
        <v>74</v>
      </c>
      <c r="L29">
        <v>25</v>
      </c>
      <c r="M29">
        <v>30</v>
      </c>
    </row>
    <row r="30" spans="1:13" x14ac:dyDescent="0.3">
      <c r="B30" t="s">
        <v>29</v>
      </c>
      <c r="C30" t="s">
        <v>39</v>
      </c>
      <c r="D30">
        <v>15.54</v>
      </c>
      <c r="E30">
        <v>18.57</v>
      </c>
      <c r="F30" s="5">
        <v>17.055</v>
      </c>
      <c r="G30" s="5">
        <v>17.059999999999999</v>
      </c>
      <c r="I30">
        <v>151</v>
      </c>
      <c r="J30">
        <v>300</v>
      </c>
      <c r="K30" t="s">
        <v>74</v>
      </c>
      <c r="L30">
        <v>30</v>
      </c>
      <c r="M30">
        <v>35</v>
      </c>
    </row>
    <row r="31" spans="1:13" x14ac:dyDescent="0.3">
      <c r="A31" s="37" t="s">
        <v>57</v>
      </c>
      <c r="B31" t="s">
        <v>28</v>
      </c>
      <c r="C31" t="s">
        <v>39</v>
      </c>
      <c r="D31" t="s">
        <v>18</v>
      </c>
      <c r="E31" t="s">
        <v>18</v>
      </c>
      <c r="F31" s="5" t="s">
        <v>18</v>
      </c>
      <c r="G31" s="5" t="s">
        <v>18</v>
      </c>
      <c r="I31">
        <v>301</v>
      </c>
      <c r="J31">
        <v>600</v>
      </c>
      <c r="K31" t="s">
        <v>74</v>
      </c>
      <c r="L31">
        <v>35</v>
      </c>
      <c r="M31">
        <v>40</v>
      </c>
    </row>
    <row r="32" spans="1:13" x14ac:dyDescent="0.3">
      <c r="A32" s="8" t="s">
        <v>25</v>
      </c>
      <c r="B32" t="s">
        <v>8</v>
      </c>
      <c r="C32" t="s">
        <v>39</v>
      </c>
      <c r="D32">
        <v>18.48</v>
      </c>
      <c r="E32">
        <v>25.66</v>
      </c>
      <c r="F32" s="5">
        <v>22.07</v>
      </c>
      <c r="G32" s="5">
        <v>22.07</v>
      </c>
      <c r="I32">
        <v>601</v>
      </c>
      <c r="J32">
        <v>1000</v>
      </c>
      <c r="K32" t="s">
        <v>74</v>
      </c>
      <c r="L32">
        <v>37</v>
      </c>
      <c r="M32">
        <v>42</v>
      </c>
    </row>
    <row r="33" spans="1:7" x14ac:dyDescent="0.3">
      <c r="A33" s="10" t="s">
        <v>26</v>
      </c>
      <c r="B33" t="s">
        <v>30</v>
      </c>
      <c r="C33" t="s">
        <v>39</v>
      </c>
      <c r="D33">
        <v>17.77</v>
      </c>
      <c r="E33">
        <v>19.899999999999999</v>
      </c>
      <c r="F33" s="5">
        <v>18.84</v>
      </c>
      <c r="G33" s="5">
        <v>18.84</v>
      </c>
    </row>
    <row r="34" spans="1:7" x14ac:dyDescent="0.3">
      <c r="A34" s="37" t="s">
        <v>73</v>
      </c>
      <c r="B34" t="s">
        <v>31</v>
      </c>
      <c r="C34" t="s">
        <v>39</v>
      </c>
      <c r="D34">
        <v>17.57</v>
      </c>
      <c r="E34">
        <v>19.97</v>
      </c>
      <c r="F34" s="5">
        <v>18.77</v>
      </c>
      <c r="G34" s="5">
        <v>18.77</v>
      </c>
    </row>
    <row r="35" spans="1:7" x14ac:dyDescent="0.3">
      <c r="A35" t="s">
        <v>74</v>
      </c>
      <c r="B35" t="s">
        <v>9</v>
      </c>
      <c r="C35" t="s">
        <v>39</v>
      </c>
      <c r="D35" t="s">
        <v>18</v>
      </c>
      <c r="E35" t="s">
        <v>18</v>
      </c>
      <c r="F35" s="5" t="s">
        <v>18</v>
      </c>
      <c r="G35" s="5" t="s">
        <v>18</v>
      </c>
    </row>
    <row r="36" spans="1:7" x14ac:dyDescent="0.3">
      <c r="A36" t="s">
        <v>58</v>
      </c>
      <c r="B36" t="s">
        <v>5</v>
      </c>
      <c r="C36" t="s">
        <v>39</v>
      </c>
      <c r="D36">
        <v>20</v>
      </c>
      <c r="E36" t="s">
        <v>18</v>
      </c>
      <c r="F36" s="5">
        <v>20</v>
      </c>
      <c r="G36" s="5">
        <v>20</v>
      </c>
    </row>
    <row r="37" spans="1:7" x14ac:dyDescent="0.3">
      <c r="A37" t="s">
        <v>44</v>
      </c>
      <c r="B37" t="s">
        <v>32</v>
      </c>
      <c r="C37" t="s">
        <v>39</v>
      </c>
      <c r="D37">
        <v>19.82</v>
      </c>
      <c r="E37">
        <v>28.52</v>
      </c>
      <c r="F37" s="5">
        <v>24.17</v>
      </c>
      <c r="G37" s="5">
        <v>24.17</v>
      </c>
    </row>
    <row r="38" spans="1:7" x14ac:dyDescent="0.3">
      <c r="A38" t="s">
        <v>59</v>
      </c>
      <c r="B38" t="s">
        <v>10</v>
      </c>
      <c r="C38" t="s">
        <v>39</v>
      </c>
      <c r="D38">
        <v>14.87</v>
      </c>
      <c r="E38">
        <v>23.79</v>
      </c>
      <c r="F38" s="5">
        <v>19.329999999999998</v>
      </c>
      <c r="G38" s="5">
        <v>19.329999999999998</v>
      </c>
    </row>
    <row r="39" spans="1:7" x14ac:dyDescent="0.3">
      <c r="A39" t="s">
        <v>58</v>
      </c>
      <c r="B39" t="s">
        <v>29</v>
      </c>
      <c r="C39" t="s">
        <v>40</v>
      </c>
      <c r="D39" t="s">
        <v>18</v>
      </c>
      <c r="E39" t="s">
        <v>18</v>
      </c>
      <c r="F39" s="5" t="s">
        <v>18</v>
      </c>
      <c r="G39" s="5" t="s">
        <v>18</v>
      </c>
    </row>
    <row r="40" spans="1:7" x14ac:dyDescent="0.3">
      <c r="A40" t="s">
        <v>48</v>
      </c>
      <c r="B40" t="s">
        <v>28</v>
      </c>
      <c r="C40" t="s">
        <v>40</v>
      </c>
      <c r="D40">
        <v>16</v>
      </c>
      <c r="E40">
        <v>24.55</v>
      </c>
      <c r="F40" s="5">
        <v>20.28</v>
      </c>
      <c r="G40" s="5">
        <v>20.28</v>
      </c>
    </row>
    <row r="41" spans="1:7" x14ac:dyDescent="0.3">
      <c r="A41" t="s">
        <v>49</v>
      </c>
      <c r="B41" t="s">
        <v>8</v>
      </c>
      <c r="C41" t="s">
        <v>40</v>
      </c>
      <c r="D41">
        <v>17.86</v>
      </c>
      <c r="E41">
        <v>22.02</v>
      </c>
      <c r="F41" s="5">
        <v>19.940000000000001</v>
      </c>
      <c r="G41" s="5">
        <v>19.940000000000001</v>
      </c>
    </row>
    <row r="42" spans="1:7" x14ac:dyDescent="0.3">
      <c r="B42" t="s">
        <v>30</v>
      </c>
      <c r="C42" t="s">
        <v>40</v>
      </c>
      <c r="D42">
        <v>22.64</v>
      </c>
      <c r="E42">
        <v>25.36</v>
      </c>
      <c r="F42" s="5">
        <v>24</v>
      </c>
      <c r="G42" s="5">
        <v>24</v>
      </c>
    </row>
    <row r="43" spans="1:7" x14ac:dyDescent="0.3">
      <c r="B43" t="s">
        <v>31</v>
      </c>
      <c r="C43" t="s">
        <v>40</v>
      </c>
      <c r="D43" t="s">
        <v>18</v>
      </c>
      <c r="E43" t="s">
        <v>18</v>
      </c>
      <c r="F43" s="5" t="s">
        <v>18</v>
      </c>
      <c r="G43" s="5" t="s">
        <v>18</v>
      </c>
    </row>
    <row r="44" spans="1:7" x14ac:dyDescent="0.3">
      <c r="B44" t="s">
        <v>9</v>
      </c>
      <c r="C44" t="s">
        <v>40</v>
      </c>
      <c r="D44">
        <v>19.84</v>
      </c>
      <c r="E44">
        <v>20.36</v>
      </c>
      <c r="F44" s="5">
        <v>20.100000000000001</v>
      </c>
      <c r="G44" s="5">
        <v>20.100000000000001</v>
      </c>
    </row>
    <row r="45" spans="1:7" x14ac:dyDescent="0.3">
      <c r="B45" t="s">
        <v>5</v>
      </c>
      <c r="C45" t="s">
        <v>40</v>
      </c>
      <c r="D45" t="s">
        <v>18</v>
      </c>
      <c r="E45" t="s">
        <v>18</v>
      </c>
      <c r="F45" s="5" t="s">
        <v>18</v>
      </c>
      <c r="G45" s="5" t="s">
        <v>18</v>
      </c>
    </row>
    <row r="46" spans="1:7" x14ac:dyDescent="0.3">
      <c r="B46" t="s">
        <v>32</v>
      </c>
      <c r="C46" t="s">
        <v>40</v>
      </c>
      <c r="D46">
        <v>26.2</v>
      </c>
      <c r="E46">
        <v>40.61</v>
      </c>
      <c r="F46" s="5">
        <v>33.409999999999997</v>
      </c>
      <c r="G46" s="5">
        <v>33.409999999999997</v>
      </c>
    </row>
    <row r="47" spans="1:7" x14ac:dyDescent="0.3">
      <c r="B47" t="s">
        <v>10</v>
      </c>
      <c r="C47" t="s">
        <v>40</v>
      </c>
      <c r="D47">
        <v>18.3</v>
      </c>
      <c r="E47">
        <v>21.93</v>
      </c>
      <c r="F47" s="5">
        <v>20.12</v>
      </c>
      <c r="G47" s="5">
        <v>20.12</v>
      </c>
    </row>
  </sheetData>
  <sheetProtection algorithmName="SHA-512" hashValue="UM9pLTD5sOgjX3RAWb4FGTPoJocWm/6nPETBXoZ/B6UuN9XS2/090bPQO+ayNLctj6BAVPaInIHoDq3ktoQNbA==" saltValue="hIQii7Mv8I9zTWx2eN3aRg==" spinCount="100000" sheet="1" objects="1" scenarios="1"/>
  <mergeCells count="2">
    <mergeCell ref="I1:M1"/>
    <mergeCell ref="B1:G1"/>
  </mergeCells>
  <pageMargins left="0.7" right="0.7" top="0.75" bottom="0.75" header="0.3" footer="0.3"/>
  <ignoredErrors>
    <ignoredError sqref="G30:G35 G28 G26 G36:G47" calculatedColumn="1"/>
  </ignoredErrors>
  <drawing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01771-4832-4680-AED0-78ED72C690DE}">
  <dimension ref="A1:A26"/>
  <sheetViews>
    <sheetView topLeftCell="A8" workbookViewId="0">
      <selection activeCell="D28" sqref="D28"/>
    </sheetView>
  </sheetViews>
  <sheetFormatPr defaultRowHeight="14.4" x14ac:dyDescent="0.3"/>
  <cols>
    <col min="1" max="1" width="80.77734375" customWidth="1"/>
    <col min="2" max="2" width="14" customWidth="1"/>
  </cols>
  <sheetData>
    <row r="1" spans="1:1" ht="18" x14ac:dyDescent="0.35">
      <c r="A1" s="52" t="s">
        <v>86</v>
      </c>
    </row>
    <row r="2" spans="1:1" ht="28.8" x14ac:dyDescent="0.3">
      <c r="A2" s="51" t="s">
        <v>87</v>
      </c>
    </row>
    <row r="3" spans="1:1" x14ac:dyDescent="0.3">
      <c r="A3" s="4" t="s">
        <v>108</v>
      </c>
    </row>
    <row r="4" spans="1:1" x14ac:dyDescent="0.3">
      <c r="A4" s="50" t="s">
        <v>88</v>
      </c>
    </row>
    <row r="5" spans="1:1" x14ac:dyDescent="0.3">
      <c r="A5" s="50" t="s">
        <v>89</v>
      </c>
    </row>
    <row r="6" spans="1:1" x14ac:dyDescent="0.3">
      <c r="A6" s="50" t="s">
        <v>90</v>
      </c>
    </row>
    <row r="7" spans="1:1" x14ac:dyDescent="0.3">
      <c r="A7" s="50" t="s">
        <v>94</v>
      </c>
    </row>
    <row r="8" spans="1:1" x14ac:dyDescent="0.3">
      <c r="A8" s="50" t="s">
        <v>91</v>
      </c>
    </row>
    <row r="9" spans="1:1" x14ac:dyDescent="0.3">
      <c r="A9" s="50" t="s">
        <v>92</v>
      </c>
    </row>
    <row r="10" spans="1:1" x14ac:dyDescent="0.3">
      <c r="A10" s="50" t="s">
        <v>106</v>
      </c>
    </row>
    <row r="11" spans="1:1" x14ac:dyDescent="0.3">
      <c r="A11" s="50" t="s">
        <v>93</v>
      </c>
    </row>
    <row r="12" spans="1:1" x14ac:dyDescent="0.3">
      <c r="A12" s="50"/>
    </row>
    <row r="13" spans="1:1" x14ac:dyDescent="0.3">
      <c r="A13" s="4" t="s">
        <v>109</v>
      </c>
    </row>
    <row r="14" spans="1:1" x14ac:dyDescent="0.3">
      <c r="A14" s="50" t="s">
        <v>95</v>
      </c>
    </row>
    <row r="15" spans="1:1" x14ac:dyDescent="0.3">
      <c r="A15" s="50" t="s">
        <v>96</v>
      </c>
    </row>
    <row r="16" spans="1:1" x14ac:dyDescent="0.3">
      <c r="A16" s="50" t="s">
        <v>97</v>
      </c>
    </row>
    <row r="17" spans="1:1" x14ac:dyDescent="0.3">
      <c r="A17" s="50" t="s">
        <v>98</v>
      </c>
    </row>
    <row r="18" spans="1:1" x14ac:dyDescent="0.3">
      <c r="A18" s="50" t="s">
        <v>99</v>
      </c>
    </row>
    <row r="19" spans="1:1" x14ac:dyDescent="0.3">
      <c r="A19" s="50" t="s">
        <v>100</v>
      </c>
    </row>
    <row r="20" spans="1:1" x14ac:dyDescent="0.3">
      <c r="A20" s="50" t="s">
        <v>101</v>
      </c>
    </row>
    <row r="21" spans="1:1" x14ac:dyDescent="0.3">
      <c r="A21" s="50" t="s">
        <v>102</v>
      </c>
    </row>
    <row r="22" spans="1:1" x14ac:dyDescent="0.3">
      <c r="A22" s="50" t="s">
        <v>103</v>
      </c>
    </row>
    <row r="23" spans="1:1" x14ac:dyDescent="0.3">
      <c r="A23" s="50" t="s">
        <v>104</v>
      </c>
    </row>
    <row r="24" spans="1:1" x14ac:dyDescent="0.3">
      <c r="A24" s="50" t="s">
        <v>105</v>
      </c>
    </row>
    <row r="25" spans="1:1" x14ac:dyDescent="0.3">
      <c r="A25" s="57" t="s">
        <v>107</v>
      </c>
    </row>
    <row r="26" spans="1:1" ht="29.1" customHeight="1" x14ac:dyDescent="0.3">
      <c r="A26" s="58"/>
    </row>
  </sheetData>
  <sheetProtection sheet="1" objects="1" scenarios="1"/>
  <mergeCells count="1">
    <mergeCell ref="A25:A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Supporting Data</vt:lpstr>
      <vt:lpstr>Labor Cost</vt:lpstr>
      <vt:lpstr>Cost Estimator</vt:lpstr>
      <vt:lpstr>Cost Estimator-Actual</vt:lpstr>
      <vt:lpstr>Reference Sheet</vt:lpstr>
      <vt:lpstr>Equipment Needs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 Maggie</dc:creator>
  <cp:lastModifiedBy>Vigil, Raena</cp:lastModifiedBy>
  <dcterms:created xsi:type="dcterms:W3CDTF">2026-04-09T15:05:16Z</dcterms:created>
  <dcterms:modified xsi:type="dcterms:W3CDTF">2026-08-19T14:39:51Z</dcterms:modified>
</cp:coreProperties>
</file>