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Financial\Trainings\External Trainings\Financial Decision Making in Uncertainty\"/>
    </mc:Choice>
  </mc:AlternateContent>
  <xr:revisionPtr revIDLastSave="0" documentId="13_ncr:1_{80999AF0-4A3B-4436-946E-517BF8037E1E}" xr6:coauthVersionLast="45" xr6:coauthVersionMax="45" xr10:uidLastSave="{00000000-0000-0000-0000-000000000000}"/>
  <bookViews>
    <workbookView xWindow="-120" yWindow="-120" windowWidth="29040" windowHeight="15840" xr2:uid="{76409017-87EB-407D-895A-099030C00196}"/>
  </bookViews>
  <sheets>
    <sheet name="FY21 Funding Tiers" sheetId="1" r:id="rId1"/>
  </sheets>
  <definedNames>
    <definedName name="_xlnm.Print_Area" localSheetId="0">'FY21 Funding Tiers'!$C$1:$T$50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0" i="1" l="1"/>
  <c r="K50" i="1"/>
  <c r="J50" i="1"/>
  <c r="F48" i="1"/>
  <c r="F47" i="1"/>
  <c r="K38" i="1"/>
  <c r="J38" i="1"/>
  <c r="H37" i="1"/>
  <c r="T37" i="1" s="1"/>
  <c r="F37" i="1"/>
  <c r="F38" i="1" s="1"/>
  <c r="H36" i="1"/>
  <c r="H35" i="1"/>
  <c r="H34" i="1"/>
  <c r="R34" i="1" s="1"/>
  <c r="R33" i="1"/>
  <c r="T33" i="1"/>
  <c r="H32" i="1"/>
  <c r="R32" i="1" s="1"/>
  <c r="H31" i="1"/>
  <c r="H30" i="1"/>
  <c r="T30" i="1" s="1"/>
  <c r="L28" i="1"/>
  <c r="K28" i="1"/>
  <c r="J28" i="1"/>
  <c r="F28" i="1"/>
  <c r="H27" i="1"/>
  <c r="H26" i="1"/>
  <c r="R26" i="1" s="1"/>
  <c r="H25" i="1"/>
  <c r="J23" i="1"/>
  <c r="J40" i="1" s="1"/>
  <c r="F23" i="1"/>
  <c r="F22" i="1"/>
  <c r="H21" i="1"/>
  <c r="K21" i="1" s="1"/>
  <c r="K23" i="1" s="1"/>
  <c r="H20" i="1"/>
  <c r="H22" i="1" s="1"/>
  <c r="T20" i="1"/>
  <c r="F17" i="1"/>
  <c r="R16" i="1"/>
  <c r="L16" i="1"/>
  <c r="K16" i="1"/>
  <c r="J16" i="1"/>
  <c r="T16" i="1"/>
  <c r="H15" i="1"/>
  <c r="K15" i="1" s="1"/>
  <c r="L14" i="1"/>
  <c r="K14" i="1"/>
  <c r="H14" i="1"/>
  <c r="J14" i="1" s="1"/>
  <c r="H13" i="1"/>
  <c r="J13" i="1" s="1"/>
  <c r="H12" i="1"/>
  <c r="H48" i="1" s="1"/>
  <c r="H11" i="1"/>
  <c r="J11" i="1" s="1"/>
  <c r="R11" i="1" l="1"/>
  <c r="L30" i="1"/>
  <c r="L38" i="1" s="1"/>
  <c r="R30" i="1"/>
  <c r="L20" i="1"/>
  <c r="H28" i="1"/>
  <c r="T28" i="1" s="1"/>
  <c r="L15" i="1"/>
  <c r="R37" i="1"/>
  <c r="T21" i="1"/>
  <c r="T26" i="1"/>
  <c r="R14" i="1"/>
  <c r="F40" i="1"/>
  <c r="F46" i="1" s="1"/>
  <c r="K40" i="1"/>
  <c r="L21" i="1"/>
  <c r="K11" i="1"/>
  <c r="R21" i="1"/>
  <c r="L11" i="1"/>
  <c r="T15" i="1"/>
  <c r="T32" i="1"/>
  <c r="T25" i="1"/>
  <c r="R22" i="1"/>
  <c r="L22" i="1"/>
  <c r="T22" i="1"/>
  <c r="H17" i="1"/>
  <c r="T34" i="1"/>
  <c r="T11" i="1"/>
  <c r="L13" i="1"/>
  <c r="T14" i="1"/>
  <c r="R20" i="1"/>
  <c r="H23" i="1"/>
  <c r="R25" i="1"/>
  <c r="J12" i="1"/>
  <c r="K13" i="1"/>
  <c r="H38" i="1"/>
  <c r="T13" i="1"/>
  <c r="K12" i="1"/>
  <c r="J15" i="1"/>
  <c r="J17" i="1" s="1"/>
  <c r="J42" i="1" s="1"/>
  <c r="H47" i="1"/>
  <c r="R13" i="1"/>
  <c r="L12" i="1"/>
  <c r="K17" i="1" l="1"/>
  <c r="K42" i="1" s="1"/>
  <c r="L17" i="1"/>
  <c r="L23" i="1"/>
  <c r="L40" i="1" s="1"/>
  <c r="L42" i="1" s="1"/>
  <c r="R28" i="1"/>
  <c r="F42" i="1"/>
  <c r="F49" i="1" s="1"/>
  <c r="F50" i="1" s="1"/>
  <c r="H8" i="1" s="1"/>
  <c r="T8" i="1" s="1"/>
  <c r="T38" i="1"/>
  <c r="R38" i="1"/>
  <c r="R23" i="1"/>
  <c r="T23" i="1"/>
  <c r="H40" i="1"/>
  <c r="H42" i="1" s="1"/>
  <c r="T42" i="1" s="1"/>
  <c r="T17" i="1"/>
  <c r="R17" i="1"/>
  <c r="T40" i="1" l="1"/>
  <c r="R40" i="1"/>
  <c r="H46" i="1"/>
  <c r="H49" i="1" s="1"/>
  <c r="T49" i="1" s="1"/>
  <c r="T46" i="1" l="1"/>
  <c r="H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tc={EED1D039-B7B9-4F94-9B3A-11E36B7FDF99}</author>
    <author>tc={E8EDFB98-1560-41C4-A656-D86A499D68D6}</author>
    <author>tc={B38709A7-2F07-4E2E-B94E-CF230781D2B6}</author>
    <author>Karger, Amanda</author>
  </authors>
  <commentList>
    <comment ref="J5" authorId="0" shapeId="0" xr:uid="{EED1D039-B7B9-4F94-9B3A-11E36B7FDF99}">
      <text>
        <t>[Threaded comment]
Your version of Excel allows you to read this threaded comment; however, any edits to it will get removed if the file is opened in a newer version of Excel. Learn more: https://go.microsoft.com/fwlink/?linkid=870924
Comment:
    Amount of reduction, or variance from proposed budget</t>
      </text>
    </comment>
    <comment ref="K5" authorId="1" shapeId="0" xr:uid="{E8EDFB98-1560-41C4-A656-D86A499D68D6}">
      <text>
        <t>[Threaded comment]
Your version of Excel allows you to read this threaded comment; however, any edits to it will get removed if the file is opened in a newer version of Excel. Learn more: https://go.microsoft.com/fwlink/?linkid=870924
Comment:
    Amount of reduction, or variance from proposed budget</t>
      </text>
    </comment>
    <comment ref="L5" authorId="2" shapeId="0" xr:uid="{B38709A7-2F07-4E2E-B94E-CF230781D2B6}">
      <text>
        <t>[Threaded comment]
Your version of Excel allows you to read this threaded comment; however, any edits to it will get removed if the file is opened in a newer version of Excel. Learn more: https://go.microsoft.com/fwlink/?linkid=870924
Comment:
    Amount of reduction, or variance from proposed budget</t>
      </text>
    </comment>
    <comment ref="H15" authorId="3" shapeId="0" xr:uid="{71964A59-D9ED-45EE-A633-1263D4DC3304}">
      <text>
        <r>
          <rPr>
            <b/>
            <sz val="9"/>
            <color indexed="81"/>
            <rFont val="Tahoma"/>
            <charset val="1"/>
          </rPr>
          <t>Karger, Amanda:</t>
        </r>
        <r>
          <rPr>
            <sz val="9"/>
            <color indexed="81"/>
            <rFont val="Tahoma"/>
            <charset val="1"/>
          </rPr>
          <t xml:space="preserve">
indirect cost recovery: NLA: 43K title 1: 10K AMC 15K, add'l PERA 40,581</t>
        </r>
      </text>
    </comment>
    <comment ref="H22" authorId="3" shapeId="0" xr:uid="{87306708-75DE-4C49-9ECA-3862BA37C60F}">
      <text>
        <r>
          <rPr>
            <b/>
            <sz val="9"/>
            <color indexed="81"/>
            <rFont val="Tahoma"/>
            <charset val="1"/>
          </rPr>
          <t>Karger, Amanda:</t>
        </r>
        <r>
          <rPr>
            <sz val="9"/>
            <color indexed="81"/>
            <rFont val="Tahoma"/>
            <charset val="1"/>
          </rPr>
          <t xml:space="preserve">
9K for stipend PERA not in base year.
24K for 0.5% PERA rate increase (462K estimated total base PERA for FY20)
5% increase on health and dental premiums (265K total estimated x 5%)</t>
        </r>
      </text>
    </comment>
  </commentList>
</comments>
</file>

<file path=xl/sharedStrings.xml><?xml version="1.0" encoding="utf-8"?>
<sst xmlns="http://schemas.openxmlformats.org/spreadsheetml/2006/main" count="73" uniqueCount="63">
  <si>
    <t>SCHOOL ABC</t>
  </si>
  <si>
    <t>2020-21 Proposed Budget and Reduction Scenarios</t>
  </si>
  <si>
    <t>2019-20 Amended Budget</t>
  </si>
  <si>
    <t>2020-21 Proposed Budget
(FLAT FUNDING)</t>
  </si>
  <si>
    <t>Tier 1
(-3% FUNDING REDUCTION)</t>
  </si>
  <si>
    <t>Tier 2
(-6% FUNDING REDUCTION)</t>
  </si>
  <si>
    <t>Tier 3
(-10% FUNDING REDUCTION)</t>
  </si>
  <si>
    <t>Tier 1 Description
(-3% FUNDING REDUCTION)</t>
  </si>
  <si>
    <t>Tier 2 Description
(-6% FUNDING REDUCTION)</t>
  </si>
  <si>
    <t>Tier 3 Description
(-10% FUNDING REDUCTION)</t>
  </si>
  <si>
    <t>2019-2020 Proposed v. 
2018-2019 Forecast
% Variance</t>
  </si>
  <si>
    <t>Beginning Fund Balance</t>
  </si>
  <si>
    <t>Revenue</t>
  </si>
  <si>
    <t xml:space="preserve">Per Pupil Revenue  </t>
  </si>
  <si>
    <t xml:space="preserve">State Grants  </t>
  </si>
  <si>
    <t>Federal Grants</t>
  </si>
  <si>
    <t>Other Local Revenue</t>
  </si>
  <si>
    <t>Fundraising</t>
  </si>
  <si>
    <t>Interest income</t>
  </si>
  <si>
    <t xml:space="preserve">  Total Revenue</t>
  </si>
  <si>
    <t>Expenses</t>
  </si>
  <si>
    <t>Salaries</t>
  </si>
  <si>
    <t>1% pay increase</t>
  </si>
  <si>
    <t>No pay increase</t>
  </si>
  <si>
    <t>3% pay decrease</t>
  </si>
  <si>
    <t>Salaries - hourly employees</t>
  </si>
  <si>
    <t>Benefits</t>
  </si>
  <si>
    <t>1% pay increase impact</t>
  </si>
  <si>
    <t>No pay increase impact</t>
  </si>
  <si>
    <t xml:space="preserve">  Subtotal Personnel</t>
  </si>
  <si>
    <t>Professional services</t>
  </si>
  <si>
    <t>Move AP processing in house</t>
  </si>
  <si>
    <t>Purchased Services</t>
  </si>
  <si>
    <t>Legal Services</t>
  </si>
  <si>
    <t xml:space="preserve">  Subtotal Contracted Services</t>
  </si>
  <si>
    <t>Building Rental</t>
  </si>
  <si>
    <t>Negotiate 10% deferment of lease</t>
  </si>
  <si>
    <t>Utilities/Trash/Landscaping</t>
  </si>
  <si>
    <t>Less frequent mowing</t>
  </si>
  <si>
    <t>Telephone and Internet</t>
  </si>
  <si>
    <t>Printing and Copying</t>
  </si>
  <si>
    <t>reduce teacher copy budgets</t>
  </si>
  <si>
    <t>Non-capital equipment</t>
  </si>
  <si>
    <t>Defer 1/3 technology refresh</t>
  </si>
  <si>
    <t>Defer all technology refresh</t>
  </si>
  <si>
    <t>Supplies</t>
  </si>
  <si>
    <t>reduce classroom supply budgets</t>
  </si>
  <si>
    <t>Travel</t>
  </si>
  <si>
    <t>eliminate travel</t>
  </si>
  <si>
    <t>N/A</t>
  </si>
  <si>
    <t>Contingency</t>
  </si>
  <si>
    <t>reduce contingency to 1.5%</t>
  </si>
  <si>
    <t xml:space="preserve">  Subtotal Operating</t>
  </si>
  <si>
    <t xml:space="preserve">  Total Expenses</t>
  </si>
  <si>
    <t>Net Income</t>
  </si>
  <si>
    <t>Reserves</t>
  </si>
  <si>
    <t>Contingency Reserve</t>
  </si>
  <si>
    <t>SPED Reserve</t>
  </si>
  <si>
    <t>TABOR Reserve</t>
  </si>
  <si>
    <t>Unassigned Reserves</t>
  </si>
  <si>
    <t>Use of unassigned reserves</t>
  </si>
  <si>
    <t xml:space="preserve">  Total Reserves</t>
  </si>
  <si>
    <t>Projected Funded Pupil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</si>
</sst>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auto="1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5" fillId="0" borderId="0" xfId="0" applyFont="1" applyAlignment="1">
      <alignment horizontal="center"/>
    </xf>
    <xf numFmtId="9" fontId="6" fillId="0" borderId="0" xfId="3" applyFont="1" applyAlignment="1"/>
    <xf numFmtId="9" fontId="6" fillId="0" borderId="0" xfId="3" applyFont="1" applyAlignment="1">
      <alignment horizontal="right"/>
    </xf>
    <xf numFmtId="0" fontId="6" fillId="0" borderId="0" xfId="0" applyFont="1" applyAlignment="1">
      <alignment horizontal="center"/>
    </xf>
    <xf numFmtId="9" fontId="0" fillId="0" borderId="0" xfId="3" applyFont="1"/>
    <xf numFmtId="9" fontId="0" fillId="0" borderId="0" xfId="3" applyFont="1" applyAlignment="1">
      <alignment horizontal="right"/>
    </xf>
    <xf numFmtId="0" fontId="2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9" fontId="7" fillId="0" borderId="1" xfId="3" applyFont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wrapText="1"/>
    </xf>
    <xf numFmtId="164" fontId="2" fillId="2" borderId="0" xfId="1" applyNumberFormat="1" applyFont="1" applyFill="1" applyBorder="1" applyAlignment="1">
      <alignment horizontal="center" wrapText="1"/>
    </xf>
    <xf numFmtId="164" fontId="2" fillId="0" borderId="3" xfId="1" applyNumberFormat="1" applyFont="1" applyFill="1" applyBorder="1" applyAlignment="1">
      <alignment horizontal="center" wrapText="1"/>
    </xf>
    <xf numFmtId="0" fontId="2" fillId="0" borderId="0" xfId="0" applyFont="1"/>
    <xf numFmtId="165" fontId="2" fillId="0" borderId="0" xfId="2" applyNumberFormat="1" applyFont="1" applyFill="1" applyBorder="1"/>
    <xf numFmtId="44" fontId="2" fillId="2" borderId="0" xfId="2" applyFont="1" applyFill="1" applyBorder="1" applyAlignment="1">
      <alignment horizontal="center" wrapText="1"/>
    </xf>
    <xf numFmtId="165" fontId="2" fillId="0" borderId="3" xfId="2" applyNumberFormat="1" applyFont="1" applyBorder="1"/>
    <xf numFmtId="165" fontId="2" fillId="0" borderId="0" xfId="2" applyNumberFormat="1" applyFont="1" applyBorder="1"/>
    <xf numFmtId="9" fontId="2" fillId="0" borderId="0" xfId="3" applyFont="1" applyBorder="1" applyAlignment="1">
      <alignment horizontal="right"/>
    </xf>
    <xf numFmtId="164" fontId="2" fillId="0" borderId="3" xfId="1" applyNumberFormat="1" applyFont="1" applyBorder="1" applyAlignment="1">
      <alignment horizontal="center" wrapText="1"/>
    </xf>
    <xf numFmtId="164" fontId="2" fillId="0" borderId="0" xfId="1" applyNumberFormat="1" applyFont="1" applyBorder="1" applyAlignment="1">
      <alignment horizontal="center" wrapText="1"/>
    </xf>
    <xf numFmtId="9" fontId="2" fillId="0" borderId="0" xfId="3" applyFont="1" applyBorder="1" applyAlignment="1">
      <alignment horizontal="right" wrapText="1"/>
    </xf>
    <xf numFmtId="0" fontId="8" fillId="0" borderId="0" xfId="0" applyFont="1"/>
    <xf numFmtId="0" fontId="0" fillId="0" borderId="0" xfId="0" applyAlignment="1">
      <alignment wrapText="1"/>
    </xf>
    <xf numFmtId="164" fontId="1" fillId="0" borderId="0" xfId="1" applyNumberFormat="1" applyFont="1" applyFill="1" applyBorder="1" applyAlignment="1">
      <alignment horizontal="center" wrapText="1"/>
    </xf>
    <xf numFmtId="164" fontId="1" fillId="0" borderId="3" xfId="1" applyNumberFormat="1" applyFont="1" applyFill="1" applyBorder="1" applyAlignment="1">
      <alignment horizontal="center" wrapText="1"/>
    </xf>
    <xf numFmtId="9" fontId="1" fillId="0" borderId="0" xfId="3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4" fontId="2" fillId="0" borderId="5" xfId="1" applyNumberFormat="1" applyFont="1" applyFill="1" applyBorder="1" applyAlignment="1">
      <alignment horizontal="center" wrapText="1"/>
    </xf>
    <xf numFmtId="164" fontId="0" fillId="0" borderId="0" xfId="1" applyNumberFormat="1" applyFont="1" applyFill="1" applyBorder="1"/>
    <xf numFmtId="164" fontId="0" fillId="2" borderId="0" xfId="1" applyNumberFormat="1" applyFont="1" applyFill="1" applyBorder="1"/>
    <xf numFmtId="164" fontId="2" fillId="0" borderId="6" xfId="1" applyNumberFormat="1" applyFont="1" applyBorder="1" applyAlignment="1">
      <alignment horizontal="center" wrapText="1"/>
    </xf>
    <xf numFmtId="164" fontId="2" fillId="0" borderId="7" xfId="1" applyNumberFormat="1" applyFont="1" applyBorder="1" applyAlignment="1">
      <alignment horizontal="center" wrapText="1"/>
    </xf>
    <xf numFmtId="9" fontId="2" fillId="0" borderId="5" xfId="3" applyFont="1" applyBorder="1" applyAlignment="1">
      <alignment horizontal="right" wrapText="1"/>
    </xf>
    <xf numFmtId="0" fontId="0" fillId="0" borderId="0" xfId="0" applyAlignment="1">
      <alignment horizontal="left"/>
    </xf>
    <xf numFmtId="164" fontId="0" fillId="0" borderId="3" xfId="1" applyNumberFormat="1" applyFont="1" applyFill="1" applyBorder="1"/>
    <xf numFmtId="164" fontId="0" fillId="0" borderId="0" xfId="1" applyNumberFormat="1" applyFont="1" applyBorder="1"/>
    <xf numFmtId="9" fontId="0" fillId="0" borderId="0" xfId="3" applyFont="1" applyBorder="1" applyAlignment="1">
      <alignment horizontal="right"/>
    </xf>
    <xf numFmtId="164" fontId="2" fillId="0" borderId="0" xfId="1" applyNumberFormat="1" applyFont="1" applyFill="1" applyBorder="1"/>
    <xf numFmtId="164" fontId="2" fillId="2" borderId="0" xfId="1" applyNumberFormat="1" applyFont="1" applyFill="1" applyBorder="1"/>
    <xf numFmtId="164" fontId="0" fillId="0" borderId="1" xfId="1" applyNumberFormat="1" applyFont="1" applyFill="1" applyBorder="1"/>
    <xf numFmtId="164" fontId="0" fillId="0" borderId="7" xfId="1" applyNumberFormat="1" applyFont="1" applyFill="1" applyBorder="1"/>
    <xf numFmtId="9" fontId="0" fillId="0" borderId="1" xfId="3" applyFont="1" applyBorder="1" applyAlignment="1">
      <alignment horizontal="right"/>
    </xf>
    <xf numFmtId="0" fontId="2" fillId="0" borderId="0" xfId="0" applyFont="1" applyAlignment="1">
      <alignment horizontal="left"/>
    </xf>
    <xf numFmtId="164" fontId="2" fillId="0" borderId="3" xfId="1" applyNumberFormat="1" applyFont="1" applyBorder="1"/>
    <xf numFmtId="164" fontId="2" fillId="0" borderId="0" xfId="1" applyNumberFormat="1" applyFont="1" applyBorder="1"/>
    <xf numFmtId="164" fontId="0" fillId="0" borderId="0" xfId="3" applyNumberFormat="1" applyFont="1" applyFill="1" applyBorder="1"/>
    <xf numFmtId="164" fontId="0" fillId="0" borderId="3" xfId="3" applyNumberFormat="1" applyFont="1" applyBorder="1"/>
    <xf numFmtId="164" fontId="0" fillId="0" borderId="0" xfId="3" applyNumberFormat="1" applyFont="1" applyBorder="1"/>
    <xf numFmtId="164" fontId="2" fillId="0" borderId="8" xfId="1" applyNumberFormat="1" applyFont="1" applyFill="1" applyBorder="1"/>
    <xf numFmtId="164" fontId="9" fillId="2" borderId="0" xfId="1" applyNumberFormat="1" applyFont="1" applyFill="1" applyBorder="1"/>
    <xf numFmtId="164" fontId="2" fillId="0" borderId="4" xfId="1" applyNumberFormat="1" applyFont="1" applyFill="1" applyBorder="1"/>
    <xf numFmtId="164" fontId="7" fillId="2" borderId="0" xfId="1" applyNumberFormat="1" applyFont="1" applyFill="1" applyBorder="1"/>
    <xf numFmtId="164" fontId="0" fillId="0" borderId="3" xfId="1" applyNumberFormat="1" applyFont="1" applyBorder="1"/>
    <xf numFmtId="164" fontId="2" fillId="0" borderId="9" xfId="1" applyNumberFormat="1" applyFont="1" applyFill="1" applyBorder="1"/>
    <xf numFmtId="9" fontId="2" fillId="0" borderId="9" xfId="3" applyFont="1" applyBorder="1" applyAlignment="1">
      <alignment horizontal="right"/>
    </xf>
    <xf numFmtId="164" fontId="1" fillId="0" borderId="0" xfId="1" applyNumberFormat="1" applyFont="1" applyFill="1" applyBorder="1"/>
    <xf numFmtId="164" fontId="1" fillId="0" borderId="3" xfId="1" applyNumberFormat="1" applyFont="1" applyBorder="1"/>
    <xf numFmtId="164" fontId="1" fillId="0" borderId="0" xfId="1" applyNumberFormat="1" applyFont="1" applyBorder="1"/>
    <xf numFmtId="9" fontId="1" fillId="0" borderId="0" xfId="3" applyFont="1" applyBorder="1" applyAlignment="1">
      <alignment horizontal="right"/>
    </xf>
    <xf numFmtId="166" fontId="2" fillId="0" borderId="0" xfId="1" applyNumberFormat="1" applyFont="1" applyFill="1" applyBorder="1"/>
    <xf numFmtId="166" fontId="2" fillId="2" borderId="0" xfId="1" applyNumberFormat="1" applyFont="1" applyFill="1" applyBorder="1"/>
    <xf numFmtId="43" fontId="1" fillId="0" borderId="0" xfId="1" applyFont="1" applyFill="1" applyBorder="1"/>
    <xf numFmtId="43" fontId="1" fillId="2" borderId="0" xfId="1" applyFont="1" applyFill="1" applyBorder="1"/>
    <xf numFmtId="43" fontId="1" fillId="0" borderId="3" xfId="1" applyFont="1" applyBorder="1"/>
    <xf numFmtId="43" fontId="1" fillId="0" borderId="0" xfId="1" applyFont="1" applyBorder="1"/>
    <xf numFmtId="43" fontId="10" fillId="2" borderId="0" xfId="1" applyFont="1" applyFill="1" applyBorder="1"/>
    <xf numFmtId="164" fontId="10" fillId="2" borderId="0" xfId="1" applyNumberFormat="1" applyFont="1" applyFill="1" applyBorder="1"/>
    <xf numFmtId="164" fontId="1" fillId="0" borderId="1" xfId="1" applyNumberFormat="1" applyFont="1" applyFill="1" applyBorder="1"/>
    <xf numFmtId="164" fontId="1" fillId="0" borderId="7" xfId="1" applyNumberFormat="1" applyFont="1" applyBorder="1"/>
    <xf numFmtId="164" fontId="0" fillId="0" borderId="7" xfId="1" applyNumberFormat="1" applyFont="1" applyBorder="1"/>
    <xf numFmtId="9" fontId="1" fillId="0" borderId="1" xfId="3" applyFont="1" applyBorder="1" applyAlignment="1">
      <alignment horizontal="right"/>
    </xf>
    <xf numFmtId="165" fontId="2" fillId="0" borderId="4" xfId="2" applyNumberFormat="1" applyFont="1" applyBorder="1"/>
    <xf numFmtId="166" fontId="2" fillId="0" borderId="3" xfId="1" applyNumberFormat="1" applyFont="1" applyBorder="1"/>
    <xf numFmtId="166" fontId="2" fillId="2" borderId="0" xfId="1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arger, Amanda" id="{2DC272B1-0371-4D02-8173-14AA0C285BB3}" userId="S::KARGER_A@CDE.STATE.CO.US::15ee030d-3e1e-42b3-932b-0b34cee5638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5" dT="2020-04-03T05:27:22.66" personId="{2DC272B1-0371-4D02-8173-14AA0C285BB3}" id="{EED1D039-B7B9-4F94-9B3A-11E36B7FDF99}">
    <text>Amount of reduction, or variance from proposed budget</text>
  </threadedComment>
  <threadedComment ref="K5" dT="2020-04-03T05:27:22.66" personId="{2DC272B1-0371-4D02-8173-14AA0C285BB3}" id="{E8EDFB98-1560-41C4-A656-D86A499D68D6}">
    <text>Amount of reduction, or variance from proposed budget</text>
  </threadedComment>
  <threadedComment ref="L5" dT="2020-04-03T05:27:22.66" personId="{2DC272B1-0371-4D02-8173-14AA0C285BB3}" id="{B38709A7-2F07-4E2E-B94E-CF230781D2B6}">
    <text>Amount of reduction, or variance from proposed budget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72E36-563C-4EEC-ACA6-71023BC2567B}">
  <sheetPr>
    <tabColor theme="7" tint="-0.249977111117893"/>
    <pageSetUpPr fitToPage="1"/>
  </sheetPr>
  <dimension ref="A1:V50"/>
  <sheetViews>
    <sheetView showGridLines="0" tabSelected="1" zoomScale="80" zoomScaleNormal="80" workbookViewId="0">
      <pane xSplit="5" ySplit="5" topLeftCell="F6" activePane="bottomRight" state="frozen"/>
      <selection activeCell="N48" sqref="N48"/>
      <selection pane="topRight" activeCell="N48" sqref="N48"/>
      <selection pane="bottomLeft" activeCell="N48" sqref="N48"/>
      <selection pane="bottomRight" activeCell="N51" sqref="N51"/>
    </sheetView>
  </sheetViews>
  <sheetFormatPr defaultColWidth="9.140625" defaultRowHeight="15" x14ac:dyDescent="0.25"/>
  <cols>
    <col min="1" max="1" width="13.28515625" customWidth="1"/>
    <col min="2" max="2" width="9.7109375" customWidth="1"/>
    <col min="3" max="4" width="4.85546875" customWidth="1"/>
    <col min="5" max="5" width="45.42578125" customWidth="1"/>
    <col min="6" max="6" width="14.28515625" style="35" customWidth="1"/>
    <col min="7" max="7" width="2.140625" style="42" customWidth="1"/>
    <col min="8" max="8" width="18" style="35" customWidth="1"/>
    <col min="9" max="9" width="2.140625" style="42" customWidth="1"/>
    <col min="10" max="12" width="18.28515625" customWidth="1"/>
    <col min="13" max="13" width="2.85546875" customWidth="1"/>
    <col min="14" max="14" width="36" customWidth="1"/>
    <col min="15" max="15" width="36" bestFit="1" customWidth="1"/>
    <col min="16" max="16" width="37" bestFit="1" customWidth="1"/>
    <col min="17" max="17" width="2.140625" hidden="1" customWidth="1"/>
    <col min="18" max="18" width="14.85546875" style="5" hidden="1" customWidth="1"/>
    <col min="19" max="19" width="15.5703125" style="5" hidden="1" customWidth="1"/>
    <col min="20" max="20" width="16.42578125" style="6" hidden="1" customWidth="1"/>
  </cols>
  <sheetData>
    <row r="1" spans="1:20" ht="20.25" x14ac:dyDescent="0.3">
      <c r="C1" s="81" t="s">
        <v>0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15.75" x14ac:dyDescent="0.25">
      <c r="C2" s="82" t="s">
        <v>1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x14ac:dyDescent="0.25"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1"/>
      <c r="R3" s="2"/>
      <c r="S3" s="2"/>
      <c r="T3" s="3"/>
    </row>
    <row r="4" spans="1:20" x14ac:dyDescent="0.25">
      <c r="C4" s="4"/>
      <c r="D4" s="4"/>
      <c r="E4" s="4"/>
      <c r="F4" s="4"/>
      <c r="G4" s="4"/>
      <c r="H4" s="4"/>
      <c r="I4" s="4"/>
    </row>
    <row r="5" spans="1:20" ht="75" x14ac:dyDescent="0.25">
      <c r="A5" s="7"/>
      <c r="B5" s="7"/>
      <c r="C5" s="7"/>
      <c r="D5" s="7"/>
      <c r="E5" s="7"/>
      <c r="F5" s="8" t="s">
        <v>2</v>
      </c>
      <c r="G5" s="9"/>
      <c r="H5" s="10" t="s">
        <v>3</v>
      </c>
      <c r="I5" s="9"/>
      <c r="J5" s="11" t="s">
        <v>4</v>
      </c>
      <c r="K5" s="12" t="s">
        <v>5</v>
      </c>
      <c r="L5" s="13" t="s">
        <v>6</v>
      </c>
      <c r="M5" s="14"/>
      <c r="N5" s="11" t="s">
        <v>7</v>
      </c>
      <c r="O5" s="12" t="s">
        <v>8</v>
      </c>
      <c r="P5" s="13" t="s">
        <v>9</v>
      </c>
      <c r="Q5" s="9"/>
      <c r="T5" s="15" t="s">
        <v>10</v>
      </c>
    </row>
    <row r="6" spans="1:20" x14ac:dyDescent="0.25">
      <c r="A6" s="7"/>
      <c r="B6" s="7"/>
      <c r="C6" s="19" t="s">
        <v>62</v>
      </c>
      <c r="D6" s="19"/>
      <c r="E6" s="7"/>
      <c r="F6" s="66">
        <v>521</v>
      </c>
      <c r="G6" s="21"/>
      <c r="H6" s="79">
        <v>521</v>
      </c>
      <c r="I6" s="80"/>
      <c r="J6" s="79">
        <v>0</v>
      </c>
      <c r="K6" s="79">
        <v>0</v>
      </c>
      <c r="L6" s="79">
        <v>0</v>
      </c>
      <c r="M6" s="23"/>
      <c r="N6" s="78"/>
      <c r="O6" s="78"/>
      <c r="P6" s="78"/>
      <c r="Q6" s="21"/>
      <c r="T6" s="24"/>
    </row>
    <row r="7" spans="1:20" x14ac:dyDescent="0.25">
      <c r="A7" s="7"/>
      <c r="B7" s="7"/>
      <c r="C7" s="7"/>
      <c r="D7" s="7"/>
      <c r="E7" s="7"/>
      <c r="F7" s="16"/>
      <c r="G7" s="17"/>
      <c r="H7" s="18"/>
      <c r="I7" s="17"/>
      <c r="J7" s="18"/>
      <c r="K7" s="18"/>
      <c r="L7" s="18"/>
      <c r="N7" s="18"/>
      <c r="O7" s="18"/>
      <c r="P7" s="18"/>
      <c r="Q7" s="17"/>
    </row>
    <row r="8" spans="1:20" x14ac:dyDescent="0.25">
      <c r="A8" s="7"/>
      <c r="B8" s="7"/>
      <c r="C8" s="19" t="s">
        <v>11</v>
      </c>
      <c r="D8" s="19"/>
      <c r="E8" s="7"/>
      <c r="F8" s="20">
        <v>1500000</v>
      </c>
      <c r="G8" s="21"/>
      <c r="H8" s="22">
        <f>F50</f>
        <v>1541284.9000000004</v>
      </c>
      <c r="I8" s="21"/>
      <c r="J8" s="22"/>
      <c r="K8" s="22"/>
      <c r="L8" s="22"/>
      <c r="M8" s="23"/>
      <c r="N8" s="22"/>
      <c r="O8" s="22"/>
      <c r="P8" s="22"/>
      <c r="Q8" s="21"/>
      <c r="T8" s="24" t="e">
        <f>(H8-#REF!)/#REF!</f>
        <v>#REF!</v>
      </c>
    </row>
    <row r="9" spans="1:20" x14ac:dyDescent="0.25">
      <c r="A9" s="7"/>
      <c r="B9" s="7"/>
      <c r="C9" s="7"/>
      <c r="D9" s="7"/>
      <c r="E9" s="7"/>
      <c r="F9" s="16"/>
      <c r="G9" s="17"/>
      <c r="H9" s="25"/>
      <c r="I9" s="17"/>
      <c r="J9" s="25"/>
      <c r="K9" s="25"/>
      <c r="L9" s="25"/>
      <c r="M9" s="26"/>
      <c r="N9" s="25"/>
      <c r="O9" s="25"/>
      <c r="P9" s="25"/>
      <c r="Q9" s="17"/>
      <c r="T9" s="27"/>
    </row>
    <row r="10" spans="1:20" x14ac:dyDescent="0.25">
      <c r="A10" s="7"/>
      <c r="B10" s="7"/>
      <c r="C10" s="28" t="s">
        <v>12</v>
      </c>
      <c r="D10" s="28"/>
      <c r="E10" s="7"/>
      <c r="F10" s="16"/>
      <c r="G10" s="17"/>
      <c r="H10" s="25"/>
      <c r="I10" s="17"/>
      <c r="J10" s="25"/>
      <c r="K10" s="25"/>
      <c r="L10" s="25"/>
      <c r="M10" s="26"/>
      <c r="N10" s="25"/>
      <c r="O10" s="25"/>
      <c r="P10" s="25"/>
      <c r="Q10" s="17"/>
      <c r="T10" s="27"/>
    </row>
    <row r="11" spans="1:20" x14ac:dyDescent="0.25">
      <c r="A11" s="7"/>
      <c r="B11" s="7"/>
      <c r="C11" s="28"/>
      <c r="D11" s="28"/>
      <c r="E11" s="29" t="s">
        <v>13</v>
      </c>
      <c r="F11" s="30">
        <v>4428227</v>
      </c>
      <c r="G11" s="17"/>
      <c r="H11" s="31">
        <f>F11</f>
        <v>4428227</v>
      </c>
      <c r="I11" s="17"/>
      <c r="J11" s="31">
        <f>H11*-0.03</f>
        <v>-132846.81</v>
      </c>
      <c r="K11" s="31">
        <f>H11*-0.06</f>
        <v>-265693.62</v>
      </c>
      <c r="L11" s="31">
        <f>H11*-0.1</f>
        <v>-442822.7</v>
      </c>
      <c r="M11" s="30"/>
      <c r="N11" s="31"/>
      <c r="O11" s="31"/>
      <c r="P11" s="31"/>
      <c r="Q11" s="17"/>
      <c r="R11" s="5">
        <f>(H11-F11)/F11</f>
        <v>0</v>
      </c>
      <c r="T11" s="32" t="e">
        <f>(H11-#REF!)/#REF!</f>
        <v>#REF!</v>
      </c>
    </row>
    <row r="12" spans="1:20" x14ac:dyDescent="0.25">
      <c r="A12" s="7"/>
      <c r="B12" s="7"/>
      <c r="C12" s="28"/>
      <c r="D12" s="28"/>
      <c r="E12" s="29" t="s">
        <v>14</v>
      </c>
      <c r="F12" s="30">
        <v>26000</v>
      </c>
      <c r="G12" s="17"/>
      <c r="H12" s="31">
        <f>F12</f>
        <v>26000</v>
      </c>
      <c r="I12" s="17"/>
      <c r="J12" s="31">
        <f t="shared" ref="J12:J16" si="0">H12*-0.03</f>
        <v>-780</v>
      </c>
      <c r="K12" s="31">
        <f t="shared" ref="K12:K16" si="1">H12*-0.06</f>
        <v>-1560</v>
      </c>
      <c r="L12" s="31">
        <f t="shared" ref="L12:L16" si="2">H12*-0.1</f>
        <v>-2600</v>
      </c>
      <c r="M12" s="30"/>
      <c r="N12" s="31"/>
      <c r="O12" s="31"/>
      <c r="P12" s="31"/>
      <c r="Q12" s="17"/>
      <c r="T12" s="32"/>
    </row>
    <row r="13" spans="1:20" x14ac:dyDescent="0.25">
      <c r="A13" s="7"/>
      <c r="B13" s="7"/>
      <c r="C13" s="7"/>
      <c r="D13" s="7"/>
      <c r="E13" s="29" t="s">
        <v>15</v>
      </c>
      <c r="F13" s="30">
        <v>100000</v>
      </c>
      <c r="G13" s="17"/>
      <c r="H13" s="31">
        <f>F13</f>
        <v>100000</v>
      </c>
      <c r="I13" s="17"/>
      <c r="J13" s="31">
        <f t="shared" si="0"/>
        <v>-3000</v>
      </c>
      <c r="K13" s="31">
        <f t="shared" si="1"/>
        <v>-6000</v>
      </c>
      <c r="L13" s="31">
        <f t="shared" si="2"/>
        <v>-10000</v>
      </c>
      <c r="M13" s="30"/>
      <c r="N13" s="31"/>
      <c r="O13" s="31"/>
      <c r="P13" s="31"/>
      <c r="Q13" s="17"/>
      <c r="R13" s="5">
        <f>(H13-F13)/F13</f>
        <v>0</v>
      </c>
      <c r="T13" s="32" t="e">
        <f>(H13-#REF!)/#REF!</f>
        <v>#REF!</v>
      </c>
    </row>
    <row r="14" spans="1:20" x14ac:dyDescent="0.25">
      <c r="A14" s="7"/>
      <c r="B14" s="7"/>
      <c r="C14" s="7"/>
      <c r="D14" s="7"/>
      <c r="E14" s="33" t="s">
        <v>16</v>
      </c>
      <c r="F14" s="30">
        <v>20000</v>
      </c>
      <c r="G14" s="17"/>
      <c r="H14" s="31">
        <f>F14</f>
        <v>20000</v>
      </c>
      <c r="I14" s="17"/>
      <c r="J14" s="31">
        <f t="shared" si="0"/>
        <v>-600</v>
      </c>
      <c r="K14" s="31">
        <f t="shared" si="1"/>
        <v>-1200</v>
      </c>
      <c r="L14" s="31">
        <f t="shared" si="2"/>
        <v>-2000</v>
      </c>
      <c r="M14" s="30"/>
      <c r="N14" s="31"/>
      <c r="O14" s="31"/>
      <c r="P14" s="31"/>
      <c r="Q14" s="17"/>
      <c r="R14" s="5">
        <f>(H14-F14)/F14</f>
        <v>0</v>
      </c>
      <c r="T14" s="32" t="e">
        <f>(H14-#REF!)/#REF!</f>
        <v>#REF!</v>
      </c>
    </row>
    <row r="15" spans="1:20" x14ac:dyDescent="0.25">
      <c r="A15" s="7"/>
      <c r="B15" s="7"/>
      <c r="C15" s="7"/>
      <c r="D15" s="7"/>
      <c r="E15" s="29" t="s">
        <v>17</v>
      </c>
      <c r="F15" s="30">
        <v>30000</v>
      </c>
      <c r="G15" s="17"/>
      <c r="H15" s="31">
        <f>F15</f>
        <v>30000</v>
      </c>
      <c r="I15" s="17"/>
      <c r="J15" s="31">
        <f t="shared" si="0"/>
        <v>-900</v>
      </c>
      <c r="K15" s="31">
        <f t="shared" si="1"/>
        <v>-1800</v>
      </c>
      <c r="L15" s="31">
        <f t="shared" si="2"/>
        <v>-3000</v>
      </c>
      <c r="M15" s="30"/>
      <c r="N15" s="31"/>
      <c r="O15" s="31"/>
      <c r="P15" s="31"/>
      <c r="Q15" s="17"/>
      <c r="T15" s="32" t="e">
        <f>(H15-#REF!)/#REF!</f>
        <v>#REF!</v>
      </c>
    </row>
    <row r="16" spans="1:20" x14ac:dyDescent="0.25">
      <c r="A16" s="7"/>
      <c r="B16" s="7"/>
      <c r="C16" s="7"/>
      <c r="D16" s="7"/>
      <c r="E16" s="29" t="s">
        <v>18</v>
      </c>
      <c r="F16" s="30">
        <v>50000</v>
      </c>
      <c r="G16" s="17"/>
      <c r="H16" s="31">
        <v>45000</v>
      </c>
      <c r="I16" s="17"/>
      <c r="J16" s="31">
        <f t="shared" si="0"/>
        <v>-1350</v>
      </c>
      <c r="K16" s="31">
        <f t="shared" si="1"/>
        <v>-2700</v>
      </c>
      <c r="L16" s="31">
        <f t="shared" si="2"/>
        <v>-4500</v>
      </c>
      <c r="M16" s="30"/>
      <c r="N16" s="31"/>
      <c r="O16" s="31"/>
      <c r="P16" s="31"/>
      <c r="Q16" s="17"/>
      <c r="R16" s="5">
        <f>(H16-F16)/F16</f>
        <v>-0.1</v>
      </c>
      <c r="T16" s="32" t="e">
        <f>(H16-#REF!)/#REF!</f>
        <v>#REF!</v>
      </c>
    </row>
    <row r="17" spans="3:20" x14ac:dyDescent="0.25">
      <c r="C17" s="19" t="s">
        <v>19</v>
      </c>
      <c r="D17" s="19"/>
      <c r="E17" s="29"/>
      <c r="F17" s="34">
        <f>SUM(F11:F16)</f>
        <v>4654227</v>
      </c>
      <c r="G17" s="36"/>
      <c r="H17" s="37">
        <f>SUM(H11:H16)</f>
        <v>4649227</v>
      </c>
      <c r="I17" s="36"/>
      <c r="J17" s="37">
        <f t="shared" ref="J17:L17" si="3">SUM(J11:J16)</f>
        <v>-139476.81</v>
      </c>
      <c r="K17" s="37">
        <f t="shared" si="3"/>
        <v>-278953.62</v>
      </c>
      <c r="L17" s="37">
        <f t="shared" si="3"/>
        <v>-464922.7</v>
      </c>
      <c r="M17" s="26"/>
      <c r="N17" s="38"/>
      <c r="O17" s="38"/>
      <c r="P17" s="38"/>
      <c r="Q17" s="36"/>
      <c r="R17" s="5">
        <f>(H17-F17)/F17</f>
        <v>-1.07429225089365E-3</v>
      </c>
      <c r="T17" s="39" t="e">
        <f>(H17-#REF!)/#REF!</f>
        <v>#REF!</v>
      </c>
    </row>
    <row r="18" spans="3:20" x14ac:dyDescent="0.25">
      <c r="C18" s="7"/>
      <c r="D18" s="7"/>
      <c r="E18" s="7"/>
      <c r="F18" s="16"/>
      <c r="G18" s="36"/>
      <c r="H18" s="25"/>
      <c r="I18" s="36"/>
      <c r="J18" s="25"/>
      <c r="K18" s="25"/>
      <c r="L18" s="25"/>
      <c r="M18" s="26"/>
      <c r="N18" s="25"/>
      <c r="O18" s="25"/>
      <c r="P18" s="25"/>
      <c r="Q18" s="36"/>
      <c r="T18" s="27"/>
    </row>
    <row r="19" spans="3:20" x14ac:dyDescent="0.25">
      <c r="C19" s="28" t="s">
        <v>20</v>
      </c>
      <c r="D19" s="28"/>
      <c r="E19" s="7"/>
      <c r="F19" s="16"/>
      <c r="G19" s="36"/>
      <c r="H19" s="25"/>
      <c r="I19" s="36"/>
      <c r="J19" s="25"/>
      <c r="K19" s="25"/>
      <c r="L19" s="25"/>
      <c r="M19" s="26"/>
      <c r="N19" s="25"/>
      <c r="O19" s="25"/>
      <c r="P19" s="25"/>
      <c r="Q19" s="36"/>
      <c r="T19" s="27"/>
    </row>
    <row r="20" spans="3:20" x14ac:dyDescent="0.25">
      <c r="E20" s="40" t="s">
        <v>21</v>
      </c>
      <c r="F20" s="35">
        <v>3195700</v>
      </c>
      <c r="G20" s="36"/>
      <c r="H20" s="41">
        <f>F20*1.03</f>
        <v>3291571</v>
      </c>
      <c r="I20" s="36"/>
      <c r="J20" s="41">
        <v>-63914</v>
      </c>
      <c r="K20" s="41">
        <v>-95871</v>
      </c>
      <c r="L20" s="41">
        <f>H20*-0.03</f>
        <v>-98747.12999999999</v>
      </c>
      <c r="M20" s="42"/>
      <c r="N20" s="41" t="s">
        <v>22</v>
      </c>
      <c r="O20" s="41" t="s">
        <v>23</v>
      </c>
      <c r="P20" s="41" t="s">
        <v>24</v>
      </c>
      <c r="Q20" s="36"/>
      <c r="R20" s="5">
        <f>(H20-F20)/F20</f>
        <v>0.03</v>
      </c>
      <c r="T20" s="43" t="e">
        <f>(H20-#REF!)/#REF!</f>
        <v>#REF!</v>
      </c>
    </row>
    <row r="21" spans="3:20" x14ac:dyDescent="0.25">
      <c r="E21" s="40" t="s">
        <v>25</v>
      </c>
      <c r="F21" s="35">
        <v>112945</v>
      </c>
      <c r="G21" s="45"/>
      <c r="H21" s="41">
        <f>F21*1.03</f>
        <v>116333.35</v>
      </c>
      <c r="I21" s="45"/>
      <c r="J21" s="41">
        <v>0</v>
      </c>
      <c r="K21" s="41">
        <f>F21-H21</f>
        <v>-3388.3500000000058</v>
      </c>
      <c r="L21" s="41">
        <f t="shared" ref="L21:L22" si="4">H21*-0.03</f>
        <v>-3490.0005000000001</v>
      </c>
      <c r="M21" s="42"/>
      <c r="N21" s="41"/>
      <c r="O21" s="41"/>
      <c r="P21" s="41"/>
      <c r="Q21" s="45"/>
      <c r="R21" s="5">
        <f>(H21-F21)/F21</f>
        <v>3.0000000000000051E-2</v>
      </c>
      <c r="T21" s="43" t="e">
        <f>(H21-#REF!)/#REF!</f>
        <v>#REF!</v>
      </c>
    </row>
    <row r="22" spans="3:20" x14ac:dyDescent="0.25">
      <c r="E22" s="40" t="s">
        <v>26</v>
      </c>
      <c r="F22" s="46">
        <f>F20*0.3</f>
        <v>958710</v>
      </c>
      <c r="G22" s="36"/>
      <c r="H22" s="47">
        <f>H20*0.305</f>
        <v>1003929.155</v>
      </c>
      <c r="I22" s="36"/>
      <c r="J22" s="47">
        <v>-19494</v>
      </c>
      <c r="K22" s="47">
        <v>-29241</v>
      </c>
      <c r="L22" s="47">
        <f t="shared" si="4"/>
        <v>-30117.874649999998</v>
      </c>
      <c r="M22" s="42"/>
      <c r="N22" s="47" t="s">
        <v>27</v>
      </c>
      <c r="O22" s="47" t="s">
        <v>28</v>
      </c>
      <c r="P22" s="47" t="s">
        <v>24</v>
      </c>
      <c r="Q22" s="36"/>
      <c r="R22" s="5">
        <f>(H22-F22)/F22</f>
        <v>4.7166666666666697E-2</v>
      </c>
      <c r="T22" s="48" t="e">
        <f>(H22-#REF!)/#REF!</f>
        <v>#REF!</v>
      </c>
    </row>
    <row r="23" spans="3:20" x14ac:dyDescent="0.25">
      <c r="E23" s="49" t="s">
        <v>29</v>
      </c>
      <c r="F23" s="44">
        <f>SUM(F20:F22)</f>
        <v>4267355</v>
      </c>
      <c r="G23" s="36"/>
      <c r="H23" s="50">
        <f>SUM(H20:H22)</f>
        <v>4411833.5049999999</v>
      </c>
      <c r="I23" s="36"/>
      <c r="J23" s="50">
        <f t="shared" ref="J23:L23" si="5">SUM(J20:J22)</f>
        <v>-83408</v>
      </c>
      <c r="K23" s="50">
        <f t="shared" si="5"/>
        <v>-128500.35</v>
      </c>
      <c r="L23" s="50">
        <f t="shared" si="5"/>
        <v>-132355.00514999998</v>
      </c>
      <c r="M23" s="51"/>
      <c r="N23" s="50"/>
      <c r="O23" s="50"/>
      <c r="P23" s="50"/>
      <c r="Q23" s="36"/>
      <c r="R23" s="5">
        <f>(H23-F23)/F23</f>
        <v>3.3856687573450041E-2</v>
      </c>
      <c r="T23" s="24" t="e">
        <f>(H23-#REF!)/#REF!</f>
        <v>#REF!</v>
      </c>
    </row>
    <row r="24" spans="3:20" x14ac:dyDescent="0.25">
      <c r="E24" s="40"/>
      <c r="F24" s="52"/>
      <c r="G24" s="45"/>
      <c r="H24" s="53"/>
      <c r="I24" s="45"/>
      <c r="J24" s="53"/>
      <c r="K24" s="53"/>
      <c r="L24" s="53"/>
      <c r="M24" s="54"/>
      <c r="N24" s="53"/>
      <c r="O24" s="53"/>
      <c r="P24" s="53"/>
      <c r="Q24" s="45"/>
      <c r="T24" s="43"/>
    </row>
    <row r="25" spans="3:20" x14ac:dyDescent="0.25">
      <c r="E25" s="40" t="s">
        <v>30</v>
      </c>
      <c r="F25" s="35">
        <v>45000</v>
      </c>
      <c r="G25" s="36"/>
      <c r="H25" s="41">
        <f>F25</f>
        <v>45000</v>
      </c>
      <c r="I25" s="36"/>
      <c r="J25" s="41">
        <v>0</v>
      </c>
      <c r="K25" s="41">
        <v>0</v>
      </c>
      <c r="L25" s="41">
        <v>-5000</v>
      </c>
      <c r="M25" s="42"/>
      <c r="N25" s="41"/>
      <c r="O25" s="41"/>
      <c r="P25" s="41" t="s">
        <v>31</v>
      </c>
      <c r="Q25" s="36"/>
      <c r="R25" s="5">
        <f>(H25-F25)/F25</f>
        <v>0</v>
      </c>
      <c r="T25" s="43" t="e">
        <f>(H25-#REF!)/#REF!</f>
        <v>#REF!</v>
      </c>
    </row>
    <row r="26" spans="3:20" x14ac:dyDescent="0.25">
      <c r="E26" s="40" t="s">
        <v>32</v>
      </c>
      <c r="F26" s="35">
        <v>10000</v>
      </c>
      <c r="G26" s="36"/>
      <c r="H26" s="41">
        <f>F26</f>
        <v>10000</v>
      </c>
      <c r="I26" s="36"/>
      <c r="J26" s="41">
        <v>0</v>
      </c>
      <c r="K26" s="41">
        <v>0</v>
      </c>
      <c r="L26" s="41">
        <v>0</v>
      </c>
      <c r="M26" s="42"/>
      <c r="N26" s="41"/>
      <c r="O26" s="41"/>
      <c r="P26" s="41"/>
      <c r="Q26" s="36"/>
      <c r="R26" s="5">
        <f>(H26-F26)/F26</f>
        <v>0</v>
      </c>
      <c r="T26" s="43" t="e">
        <f>(H26-#REF!)/#REF!</f>
        <v>#REF!</v>
      </c>
    </row>
    <row r="27" spans="3:20" x14ac:dyDescent="0.25">
      <c r="E27" s="40" t="s">
        <v>33</v>
      </c>
      <c r="F27" s="35">
        <v>3000</v>
      </c>
      <c r="G27" s="36"/>
      <c r="H27" s="41">
        <f>F27</f>
        <v>3000</v>
      </c>
      <c r="I27" s="36"/>
      <c r="J27" s="41">
        <v>0</v>
      </c>
      <c r="K27" s="41">
        <v>0</v>
      </c>
      <c r="L27" s="41">
        <v>0</v>
      </c>
      <c r="M27" s="42"/>
      <c r="N27" s="41"/>
      <c r="O27" s="41"/>
      <c r="P27" s="41"/>
      <c r="Q27" s="36"/>
      <c r="T27" s="43"/>
    </row>
    <row r="28" spans="3:20" x14ac:dyDescent="0.25">
      <c r="E28" s="49" t="s">
        <v>34</v>
      </c>
      <c r="F28" s="55">
        <f>SUM(F25:F27)</f>
        <v>58000</v>
      </c>
      <c r="G28" s="56"/>
      <c r="H28" s="57">
        <f>SUM(H25:H27)</f>
        <v>58000</v>
      </c>
      <c r="I28" s="58"/>
      <c r="J28" s="57">
        <f t="shared" ref="J28:L28" si="6">SUM(J25:J27)</f>
        <v>0</v>
      </c>
      <c r="K28" s="57">
        <f t="shared" si="6"/>
        <v>0</v>
      </c>
      <c r="L28" s="57">
        <f t="shared" si="6"/>
        <v>-5000</v>
      </c>
      <c r="M28" s="51"/>
      <c r="N28" s="57"/>
      <c r="O28" s="57"/>
      <c r="P28" s="57"/>
      <c r="Q28" s="56"/>
      <c r="R28" s="5">
        <f>(H28-F28)/F28</f>
        <v>0</v>
      </c>
      <c r="T28" s="24" t="e">
        <f>(H28-#REF!)/#REF!</f>
        <v>#REF!</v>
      </c>
    </row>
    <row r="29" spans="3:20" x14ac:dyDescent="0.25">
      <c r="E29" s="40"/>
      <c r="G29" s="36"/>
      <c r="H29" s="41"/>
      <c r="I29" s="36"/>
      <c r="J29" s="41"/>
      <c r="K29" s="41"/>
      <c r="L29" s="41"/>
      <c r="M29" s="42"/>
      <c r="N29" s="41"/>
      <c r="O29" s="41"/>
      <c r="P29" s="41"/>
      <c r="Q29" s="36"/>
      <c r="T29" s="43"/>
    </row>
    <row r="30" spans="3:20" x14ac:dyDescent="0.25">
      <c r="E30" s="40" t="s">
        <v>35</v>
      </c>
      <c r="F30" s="35">
        <v>110000</v>
      </c>
      <c r="G30" s="36"/>
      <c r="H30" s="41">
        <f>F30*1.05</f>
        <v>115500</v>
      </c>
      <c r="I30" s="36"/>
      <c r="J30" s="41">
        <v>0</v>
      </c>
      <c r="K30" s="41">
        <v>0</v>
      </c>
      <c r="L30" s="41">
        <f>H30*-0.1</f>
        <v>-11550</v>
      </c>
      <c r="M30" s="42"/>
      <c r="N30" s="41"/>
      <c r="O30" s="41"/>
      <c r="P30" s="41" t="s">
        <v>36</v>
      </c>
      <c r="Q30" s="36"/>
      <c r="R30" s="5">
        <f>(H30-F30)/F30</f>
        <v>0.05</v>
      </c>
      <c r="T30" s="43" t="e">
        <f>(H30-#REF!)/#REF!</f>
        <v>#REF!</v>
      </c>
    </row>
    <row r="31" spans="3:20" x14ac:dyDescent="0.25">
      <c r="E31" s="40" t="s">
        <v>37</v>
      </c>
      <c r="F31" s="35">
        <v>5000</v>
      </c>
      <c r="G31" s="36"/>
      <c r="H31" s="59">
        <f>F31</f>
        <v>5000</v>
      </c>
      <c r="I31" s="36"/>
      <c r="J31" s="59">
        <v>0</v>
      </c>
      <c r="K31" s="59">
        <v>-1000</v>
      </c>
      <c r="L31" s="59">
        <v>-1000</v>
      </c>
      <c r="M31" s="42"/>
      <c r="N31" s="59"/>
      <c r="O31" s="59" t="s">
        <v>38</v>
      </c>
      <c r="P31" s="59" t="s">
        <v>38</v>
      </c>
      <c r="Q31" s="36"/>
      <c r="T31" s="43"/>
    </row>
    <row r="32" spans="3:20" x14ac:dyDescent="0.25">
      <c r="E32" s="40" t="s">
        <v>39</v>
      </c>
      <c r="F32" s="35">
        <v>10000</v>
      </c>
      <c r="G32" s="36"/>
      <c r="H32" s="59">
        <f>F32</f>
        <v>10000</v>
      </c>
      <c r="I32" s="36"/>
      <c r="J32" s="59">
        <v>0</v>
      </c>
      <c r="K32" s="59">
        <v>0</v>
      </c>
      <c r="L32" s="59">
        <v>0</v>
      </c>
      <c r="M32" s="42"/>
      <c r="N32" s="59"/>
      <c r="O32" s="59"/>
      <c r="P32" s="59"/>
      <c r="Q32" s="36"/>
      <c r="R32" s="5">
        <f>(H32-F32)/F32</f>
        <v>0</v>
      </c>
      <c r="T32" s="43" t="e">
        <f>(H32-#REF!)/#REF!</f>
        <v>#REF!</v>
      </c>
    </row>
    <row r="33" spans="3:20" x14ac:dyDescent="0.25">
      <c r="E33" s="40" t="s">
        <v>40</v>
      </c>
      <c r="F33" s="35">
        <v>10000</v>
      </c>
      <c r="G33" s="36"/>
      <c r="H33" s="59">
        <v>20000</v>
      </c>
      <c r="I33" s="36"/>
      <c r="J33" s="59">
        <v>0</v>
      </c>
      <c r="K33" s="59">
        <v>-10000</v>
      </c>
      <c r="L33" s="59">
        <v>-10000</v>
      </c>
      <c r="M33" s="42"/>
      <c r="N33" s="59"/>
      <c r="O33" s="59" t="s">
        <v>41</v>
      </c>
      <c r="P33" s="59" t="s">
        <v>41</v>
      </c>
      <c r="Q33" s="36"/>
      <c r="R33" s="5">
        <f>(H33-F33)/F33</f>
        <v>1</v>
      </c>
      <c r="T33" s="43" t="e">
        <f>(H33-#REF!)/#REF!</f>
        <v>#REF!</v>
      </c>
    </row>
    <row r="34" spans="3:20" x14ac:dyDescent="0.25">
      <c r="E34" s="40" t="s">
        <v>42</v>
      </c>
      <c r="F34" s="35">
        <v>20000</v>
      </c>
      <c r="G34" s="36"/>
      <c r="H34" s="59">
        <f>F34</f>
        <v>20000</v>
      </c>
      <c r="I34" s="36"/>
      <c r="J34" s="59">
        <v>-10000</v>
      </c>
      <c r="K34" s="59">
        <v>-20000</v>
      </c>
      <c r="L34" s="59">
        <v>-20000</v>
      </c>
      <c r="M34" s="42"/>
      <c r="N34" s="59" t="s">
        <v>43</v>
      </c>
      <c r="O34" s="59" t="s">
        <v>44</v>
      </c>
      <c r="P34" s="59" t="s">
        <v>44</v>
      </c>
      <c r="Q34" s="36"/>
      <c r="R34" s="5">
        <f>(H34-F34)/F34</f>
        <v>0</v>
      </c>
      <c r="T34" s="43" t="e">
        <f>(H34-#REF!)/#REF!</f>
        <v>#REF!</v>
      </c>
    </row>
    <row r="35" spans="3:20" x14ac:dyDescent="0.25">
      <c r="E35" s="40" t="s">
        <v>45</v>
      </c>
      <c r="F35" s="35">
        <v>40000</v>
      </c>
      <c r="G35" s="36"/>
      <c r="H35" s="59">
        <f>F35</f>
        <v>40000</v>
      </c>
      <c r="I35" s="36"/>
      <c r="J35" s="59">
        <v>-10000</v>
      </c>
      <c r="K35" s="59">
        <v>-10000</v>
      </c>
      <c r="L35" s="59">
        <v>-10000</v>
      </c>
      <c r="M35" s="42"/>
      <c r="N35" s="59" t="s">
        <v>46</v>
      </c>
      <c r="O35" s="59" t="s">
        <v>46</v>
      </c>
      <c r="P35" s="59" t="s">
        <v>46</v>
      </c>
      <c r="Q35" s="36"/>
      <c r="T35" s="43"/>
    </row>
    <row r="36" spans="3:20" x14ac:dyDescent="0.25">
      <c r="E36" s="40" t="s">
        <v>47</v>
      </c>
      <c r="F36" s="35">
        <v>2000</v>
      </c>
      <c r="G36" s="36"/>
      <c r="H36" s="59">
        <f>F36</f>
        <v>2000</v>
      </c>
      <c r="I36" s="36"/>
      <c r="J36" s="59">
        <v>0</v>
      </c>
      <c r="K36" s="59">
        <v>-2000</v>
      </c>
      <c r="L36" s="59">
        <v>-2000</v>
      </c>
      <c r="M36" s="42"/>
      <c r="N36" s="59"/>
      <c r="O36" s="59" t="s">
        <v>48</v>
      </c>
      <c r="P36" s="59" t="s">
        <v>48</v>
      </c>
      <c r="Q36" s="36"/>
      <c r="T36" s="43" t="s">
        <v>49</v>
      </c>
    </row>
    <row r="37" spans="3:20" x14ac:dyDescent="0.25">
      <c r="E37" s="40" t="s">
        <v>50</v>
      </c>
      <c r="F37" s="46">
        <f>4529355*0.02</f>
        <v>90587.1</v>
      </c>
      <c r="G37" s="36"/>
      <c r="H37" s="47">
        <f>4686501*0.025</f>
        <v>117162.52500000001</v>
      </c>
      <c r="I37" s="36"/>
      <c r="J37" s="47">
        <v>-37000</v>
      </c>
      <c r="K37" s="47">
        <v>-37000</v>
      </c>
      <c r="L37" s="47">
        <v>-37000</v>
      </c>
      <c r="M37" s="42"/>
      <c r="N37" s="47" t="s">
        <v>51</v>
      </c>
      <c r="O37" s="47" t="s">
        <v>51</v>
      </c>
      <c r="P37" s="47" t="s">
        <v>51</v>
      </c>
      <c r="Q37" s="36"/>
      <c r="R37" s="5">
        <f>(H37-F37)/F37</f>
        <v>0.29336875780326338</v>
      </c>
      <c r="T37" s="48" t="e">
        <f>(H37-#REF!)/#REF!</f>
        <v>#REF!</v>
      </c>
    </row>
    <row r="38" spans="3:20" x14ac:dyDescent="0.25">
      <c r="E38" s="49" t="s">
        <v>52</v>
      </c>
      <c r="F38" s="44">
        <f>SUM(F30:F37)</f>
        <v>287587.09999999998</v>
      </c>
      <c r="G38" s="45"/>
      <c r="H38" s="50">
        <f>SUM(H30:H37)</f>
        <v>329662.52500000002</v>
      </c>
      <c r="I38" s="45"/>
      <c r="J38" s="50">
        <f t="shared" ref="J38:L38" si="7">SUM(J30:J37)</f>
        <v>-57000</v>
      </c>
      <c r="K38" s="50">
        <f t="shared" si="7"/>
        <v>-80000</v>
      </c>
      <c r="L38" s="50">
        <f t="shared" si="7"/>
        <v>-91550</v>
      </c>
      <c r="M38" s="51"/>
      <c r="N38" s="50"/>
      <c r="O38" s="50"/>
      <c r="P38" s="50"/>
      <c r="Q38" s="45"/>
      <c r="R38" s="5">
        <f>(H38-F38)/F38</f>
        <v>0.14630498029988151</v>
      </c>
      <c r="T38" s="24" t="e">
        <f>(H38-#REF!)/#REF!</f>
        <v>#REF!</v>
      </c>
    </row>
    <row r="39" spans="3:20" x14ac:dyDescent="0.25">
      <c r="G39" s="45"/>
      <c r="H39" s="59"/>
      <c r="I39" s="45"/>
      <c r="J39" s="59"/>
      <c r="K39" s="59"/>
      <c r="L39" s="59"/>
      <c r="M39" s="42"/>
      <c r="N39" s="59"/>
      <c r="O39" s="59"/>
      <c r="P39" s="59"/>
      <c r="Q39" s="45"/>
      <c r="T39" s="43"/>
    </row>
    <row r="40" spans="3:20" ht="15.75" thickBot="1" x14ac:dyDescent="0.3">
      <c r="C40" s="19" t="s">
        <v>53</v>
      </c>
      <c r="D40" s="19"/>
      <c r="F40" s="60">
        <f>SUM(F23,F28,F38)</f>
        <v>4612942.0999999996</v>
      </c>
      <c r="G40" s="45"/>
      <c r="H40" s="60">
        <f>SUM(H23,H28,H38)</f>
        <v>4799496.03</v>
      </c>
      <c r="I40" s="45"/>
      <c r="J40" s="60">
        <f t="shared" ref="J40:K40" si="8">SUM(J23,J28,J38)</f>
        <v>-140408</v>
      </c>
      <c r="K40" s="60">
        <f t="shared" si="8"/>
        <v>-208500.35</v>
      </c>
      <c r="L40" s="60">
        <f>SUM(L23,L28,L38)</f>
        <v>-228905.00514999998</v>
      </c>
      <c r="M40" s="51"/>
      <c r="N40" s="60"/>
      <c r="O40" s="60"/>
      <c r="P40" s="60"/>
      <c r="Q40" s="45"/>
      <c r="R40" s="5">
        <f>(H40-F40)/F40</f>
        <v>4.0441420238073365E-2</v>
      </c>
      <c r="T40" s="61" t="e">
        <f>(H40-#REF!)/#REF!</f>
        <v>#REF!</v>
      </c>
    </row>
    <row r="41" spans="3:20" ht="15.75" thickTop="1" x14ac:dyDescent="0.25">
      <c r="C41" s="19"/>
      <c r="D41" s="19"/>
      <c r="F41" s="62"/>
      <c r="G41" s="36"/>
      <c r="H41" s="63"/>
      <c r="I41" s="36"/>
      <c r="J41" s="63"/>
      <c r="K41" s="63"/>
      <c r="L41" s="63"/>
      <c r="M41" s="64"/>
      <c r="N41" s="63"/>
      <c r="O41" s="63"/>
      <c r="P41" s="63"/>
      <c r="Q41" s="36"/>
      <c r="T41" s="65"/>
    </row>
    <row r="42" spans="3:20" x14ac:dyDescent="0.25">
      <c r="C42" s="19" t="s">
        <v>54</v>
      </c>
      <c r="F42" s="44">
        <f>F17-F40</f>
        <v>41284.900000000373</v>
      </c>
      <c r="G42" s="67"/>
      <c r="H42" s="50">
        <f>H17-H40</f>
        <v>-150269.03000000026</v>
      </c>
      <c r="I42" s="67"/>
      <c r="J42" s="50">
        <f>J17-J40</f>
        <v>931.19000000000233</v>
      </c>
      <c r="K42" s="50">
        <f t="shared" ref="K42:L42" si="9">K17-K40</f>
        <v>-70453.26999999999</v>
      </c>
      <c r="L42" s="50">
        <f t="shared" si="9"/>
        <v>-236017.69485000003</v>
      </c>
      <c r="M42" s="51"/>
      <c r="N42" s="50"/>
      <c r="O42" s="50"/>
      <c r="P42" s="50"/>
      <c r="Q42" s="67"/>
      <c r="T42" s="24" t="e">
        <f>(H42-#REF!)/#REF!</f>
        <v>#REF!</v>
      </c>
    </row>
    <row r="43" spans="3:20" x14ac:dyDescent="0.25">
      <c r="F43" s="68"/>
      <c r="G43" s="69"/>
      <c r="H43" s="70"/>
      <c r="I43" s="69"/>
      <c r="J43" s="70"/>
      <c r="K43" s="70"/>
      <c r="L43" s="70"/>
      <c r="M43" s="71"/>
      <c r="N43" s="70"/>
      <c r="O43" s="70"/>
      <c r="P43" s="70"/>
      <c r="Q43" s="69"/>
      <c r="T43" s="65"/>
    </row>
    <row r="44" spans="3:20" x14ac:dyDescent="0.25">
      <c r="C44" s="28" t="s">
        <v>55</v>
      </c>
      <c r="F44" s="68"/>
      <c r="G44" s="72"/>
      <c r="H44" s="70"/>
      <c r="I44" s="72"/>
      <c r="J44" s="70"/>
      <c r="K44" s="70"/>
      <c r="L44" s="70"/>
      <c r="M44" s="71"/>
      <c r="N44" s="70"/>
      <c r="O44" s="70"/>
      <c r="P44" s="70"/>
      <c r="Q44" s="72"/>
      <c r="T44" s="65"/>
    </row>
    <row r="45" spans="3:20" x14ac:dyDescent="0.25">
      <c r="C45" s="28"/>
      <c r="F45" s="68"/>
      <c r="G45" s="72"/>
      <c r="H45" s="70"/>
      <c r="I45" s="72"/>
      <c r="J45" s="70"/>
      <c r="K45" s="70"/>
      <c r="L45" s="70"/>
      <c r="M45" s="71"/>
      <c r="N45" s="70"/>
      <c r="O45" s="70"/>
      <c r="P45" s="70"/>
      <c r="Q45" s="72"/>
      <c r="T45" s="65"/>
    </row>
    <row r="46" spans="3:20" x14ac:dyDescent="0.25">
      <c r="C46" s="28"/>
      <c r="E46" t="s">
        <v>56</v>
      </c>
      <c r="F46" s="62">
        <f>0.1*F40</f>
        <v>461294.20999999996</v>
      </c>
      <c r="G46" s="72"/>
      <c r="H46" s="63">
        <f>0.1*H40</f>
        <v>479949.60300000006</v>
      </c>
      <c r="I46" s="72"/>
      <c r="J46" s="63">
        <v>0</v>
      </c>
      <c r="K46" s="63">
        <v>0</v>
      </c>
      <c r="L46" s="63">
        <v>0</v>
      </c>
      <c r="M46" s="64"/>
      <c r="N46" s="63"/>
      <c r="O46" s="59"/>
      <c r="P46" s="59"/>
      <c r="Q46" s="72"/>
      <c r="T46" s="65" t="e">
        <f>(H46-#REF!)/#REF!</f>
        <v>#REF!</v>
      </c>
    </row>
    <row r="47" spans="3:20" x14ac:dyDescent="0.25">
      <c r="C47" s="28"/>
      <c r="E47" t="s">
        <v>57</v>
      </c>
      <c r="F47" s="62">
        <f>F11*0.01</f>
        <v>44282.270000000004</v>
      </c>
      <c r="G47" s="73"/>
      <c r="H47" s="63">
        <f>H11*0.01</f>
        <v>44282.270000000004</v>
      </c>
      <c r="I47" s="73"/>
      <c r="J47" s="63">
        <v>0</v>
      </c>
      <c r="K47" s="63">
        <v>0</v>
      </c>
      <c r="L47" s="63">
        <v>0</v>
      </c>
      <c r="M47" s="64"/>
      <c r="N47" s="63"/>
      <c r="O47" s="63"/>
      <c r="P47" s="63"/>
      <c r="Q47" s="72"/>
      <c r="T47" s="65"/>
    </row>
    <row r="48" spans="3:20" x14ac:dyDescent="0.25">
      <c r="C48" s="28"/>
      <c r="E48" t="s">
        <v>58</v>
      </c>
      <c r="F48" s="62">
        <f>0.03*(F11+F12)</f>
        <v>133626.81</v>
      </c>
      <c r="G48" s="73"/>
      <c r="H48" s="63">
        <f>0.03*(H11+H12)</f>
        <v>133626.81</v>
      </c>
      <c r="I48" s="73"/>
      <c r="J48" s="63">
        <v>0</v>
      </c>
      <c r="K48" s="63">
        <v>0</v>
      </c>
      <c r="L48" s="63">
        <v>0</v>
      </c>
      <c r="M48" s="64"/>
      <c r="N48" s="63"/>
      <c r="O48" s="63"/>
      <c r="P48" s="63"/>
      <c r="Q48" s="72"/>
      <c r="T48" s="65"/>
    </row>
    <row r="49" spans="3:20" x14ac:dyDescent="0.25">
      <c r="E49" t="s">
        <v>59</v>
      </c>
      <c r="F49" s="74">
        <f>F8+F42-F46-F47-F48</f>
        <v>902081.61000000034</v>
      </c>
      <c r="G49" s="73"/>
      <c r="H49" s="75">
        <f>H8+H42-H46-H47-H48</f>
        <v>733157.18699999992</v>
      </c>
      <c r="I49" s="73"/>
      <c r="J49" s="75">
        <v>931</v>
      </c>
      <c r="K49" s="75">
        <v>-70453</v>
      </c>
      <c r="L49" s="75">
        <v>-235893</v>
      </c>
      <c r="M49" s="64"/>
      <c r="N49" s="75"/>
      <c r="O49" s="76" t="s">
        <v>60</v>
      </c>
      <c r="P49" s="76" t="s">
        <v>60</v>
      </c>
      <c r="Q49" s="73"/>
      <c r="T49" s="77" t="e">
        <f>(H49-#REF!)/#REF!</f>
        <v>#REF!</v>
      </c>
    </row>
    <row r="50" spans="3:20" x14ac:dyDescent="0.25">
      <c r="C50" s="19" t="s">
        <v>61</v>
      </c>
      <c r="F50" s="44">
        <f>SUM(F46:F49)</f>
        <v>1541284.9000000004</v>
      </c>
      <c r="G50" s="72"/>
      <c r="H50" s="50">
        <f>SUM(H46:H49)</f>
        <v>1391015.87</v>
      </c>
      <c r="I50" s="72"/>
      <c r="J50" s="50">
        <f>SUM(J46:J49)</f>
        <v>931</v>
      </c>
      <c r="K50" s="50">
        <f t="shared" ref="K50:L50" si="10">SUM(K46:K49)</f>
        <v>-70453</v>
      </c>
      <c r="L50" s="50">
        <f t="shared" si="10"/>
        <v>-235893</v>
      </c>
      <c r="M50" s="51"/>
      <c r="N50" s="51"/>
      <c r="O50" s="51"/>
      <c r="P50" s="51"/>
      <c r="Q50" s="72"/>
      <c r="R50"/>
      <c r="S50"/>
      <c r="T50"/>
    </row>
  </sheetData>
  <mergeCells count="3">
    <mergeCell ref="C1:T1"/>
    <mergeCell ref="C2:T2"/>
    <mergeCell ref="C3:P3"/>
  </mergeCells>
  <printOptions horizontalCentered="1"/>
  <pageMargins left="0.45" right="0.45" top="0.5" bottom="0.5" header="0.3" footer="0.3"/>
  <pageSetup scale="6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FY21 Funding Tiers</vt:lpstr>
      <vt:lpstr>'FY21 Funding Tiers'!Print_Area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Karger, Amanda</dc:creator>
  <cp:lastModifiedBy>Karger, Amanda</cp:lastModifiedBy>
  <dcterms:created xsi:type="dcterms:W3CDTF">2020-04-03T05:40:46Z</dcterms:created>
  <dcterms:modified xsi:type="dcterms:W3CDTF">2020-04-03T06:08:29Z</dcterms:modified>
</cp:coreProperties>
</file>